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_2020\"/>
    </mc:Choice>
  </mc:AlternateContent>
  <xr:revisionPtr revIDLastSave="0" documentId="8_{1710F2C6-2750-4103-8609-3F5561A376F5}" xr6:coauthVersionLast="45" xr6:coauthVersionMax="45" xr10:uidLastSave="{00000000-0000-0000-0000-000000000000}"/>
  <bookViews>
    <workbookView xWindow="-103" yWindow="-103" windowWidth="16663" windowHeight="8863" tabRatio="847" xr2:uid="{00000000-000D-0000-FFFF-FFFF00000000}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2019 Data" sheetId="11" r:id="rId10"/>
    <sheet name="2018 Prior Year" sheetId="10" r:id="rId11"/>
  </sheets>
  <definedNames>
    <definedName name="_Fill" localSheetId="10" hidden="1">'2018 Prior Year'!$DR$819:$DR$864</definedName>
    <definedName name="_Fill" localSheetId="9" hidden="1">'2019 Data'!$DR$921:$DR$966</definedName>
    <definedName name="_Fill" hidden="1">data!$DR$921:$DR$966</definedName>
    <definedName name="Costcenter" localSheetId="10">'2018 Prior Year'!#REF!</definedName>
    <definedName name="Costcenter" localSheetId="9">'2019 Data'!$A$732:$W$813</definedName>
    <definedName name="Costcenter">data!$A$732:$W$813</definedName>
    <definedName name="Edit" localSheetId="10">'2018 Prior Year'!$A$410:$E$477</definedName>
    <definedName name="Edit" localSheetId="9">'2019 Data'!$A$411:$E$478</definedName>
    <definedName name="Edit">data!$A$411:$E$478</definedName>
    <definedName name="Funds" localSheetId="10">'2018 Prior Year'!#REF!</definedName>
    <definedName name="Funds" localSheetId="9">'2019 Data'!$A$728:$CF$730</definedName>
    <definedName name="Funds">data!$A$728:$CF$730</definedName>
    <definedName name="Hospital" localSheetId="10">'2018 Prior Year'!#REF!</definedName>
    <definedName name="Hospital" localSheetId="9">'2019 Data'!$A$724:$BR$726</definedName>
    <definedName name="Hospital">data!$A$724:$BR$726</definedName>
    <definedName name="_xlnm.Print_Area" localSheetId="10">'2018 Prior Year'!$A$410:$E$477</definedName>
    <definedName name="_xlnm.Print_Area" localSheetId="9">'2019 Data'!$A$411:$E$478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10">'2018 Prior Year'!#REF!</definedName>
    <definedName name="Support" localSheetId="9">'2019 Data'!$A$720:$CD$722</definedName>
    <definedName name="Support">data!$A$720:$CD$722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51" i="1" l="1"/>
  <c r="CE51" i="1"/>
  <c r="S73" i="1" l="1"/>
  <c r="AP73" i="1"/>
  <c r="AE73" i="1"/>
  <c r="AB73" i="1"/>
  <c r="Y73" i="1"/>
  <c r="U73" i="1"/>
  <c r="F73" i="1"/>
  <c r="E73" i="1"/>
  <c r="E74" i="1"/>
  <c r="BE65" i="1" l="1"/>
  <c r="D140" i="1"/>
  <c r="C140" i="1"/>
  <c r="B140" i="1"/>
  <c r="C392" i="1" l="1"/>
  <c r="C389" i="1"/>
  <c r="C387" i="1"/>
  <c r="C364" i="1"/>
  <c r="C360" i="1"/>
  <c r="C359" i="1"/>
  <c r="C324" i="1"/>
  <c r="C323" i="1"/>
  <c r="C139" i="1" l="1"/>
  <c r="B139" i="1"/>
  <c r="C138" i="1"/>
  <c r="B138" i="1"/>
  <c r="D141" i="1" l="1"/>
  <c r="C142" i="1"/>
  <c r="C141" i="1"/>
  <c r="B142" i="1"/>
  <c r="B141" i="1"/>
  <c r="C221" i="1"/>
  <c r="C238" i="1"/>
  <c r="C239" i="1"/>
  <c r="C227" i="1"/>
  <c r="C225" i="1"/>
  <c r="C224" i="1"/>
  <c r="C223" i="1"/>
  <c r="C213" i="1" l="1"/>
  <c r="C209" i="1"/>
  <c r="E209" i="1"/>
  <c r="C200" i="1"/>
  <c r="P76" i="1"/>
  <c r="E76" i="1"/>
  <c r="AP76" i="1"/>
  <c r="BY76" i="1"/>
  <c r="BE76" i="1"/>
  <c r="AY76" i="1"/>
  <c r="BO69" i="1" l="1"/>
  <c r="U74" i="1" l="1"/>
  <c r="CE47" i="1" l="1"/>
  <c r="O817" i="11" l="1"/>
  <c r="M817" i="11"/>
  <c r="K817" i="11"/>
  <c r="J817" i="11"/>
  <c r="I817" i="11"/>
  <c r="H817" i="11"/>
  <c r="G817" i="11"/>
  <c r="F817" i="11"/>
  <c r="E817" i="11"/>
  <c r="D817" i="11"/>
  <c r="X815" i="11"/>
  <c r="X813" i="11"/>
  <c r="W813" i="11"/>
  <c r="W815" i="11" s="1"/>
  <c r="V813" i="11"/>
  <c r="V815" i="11" s="1"/>
  <c r="U813" i="11"/>
  <c r="U815" i="11" s="1"/>
  <c r="A813" i="11"/>
  <c r="T812" i="11"/>
  <c r="S812" i="11"/>
  <c r="R812" i="11"/>
  <c r="Q812" i="11"/>
  <c r="P812" i="11"/>
  <c r="M812" i="11"/>
  <c r="L812" i="11"/>
  <c r="K812" i="11"/>
  <c r="I812" i="11"/>
  <c r="H812" i="11"/>
  <c r="G812" i="11"/>
  <c r="F812" i="11"/>
  <c r="D812" i="11"/>
  <c r="C812" i="11"/>
  <c r="A812" i="11"/>
  <c r="T811" i="11"/>
  <c r="S811" i="11"/>
  <c r="R811" i="11"/>
  <c r="Q811" i="11"/>
  <c r="P811" i="11"/>
  <c r="M811" i="11"/>
  <c r="L811" i="11"/>
  <c r="K811" i="11"/>
  <c r="I811" i="11"/>
  <c r="H811" i="11"/>
  <c r="G811" i="11"/>
  <c r="F811" i="11"/>
  <c r="D811" i="11"/>
  <c r="C811" i="11"/>
  <c r="A811" i="11"/>
  <c r="T810" i="11"/>
  <c r="S810" i="11"/>
  <c r="R810" i="11"/>
  <c r="Q810" i="11"/>
  <c r="M810" i="11"/>
  <c r="L810" i="11"/>
  <c r="K810" i="11"/>
  <c r="I810" i="11"/>
  <c r="H810" i="11"/>
  <c r="G810" i="11"/>
  <c r="F810" i="11"/>
  <c r="D810" i="11"/>
  <c r="C810" i="11"/>
  <c r="A810" i="11"/>
  <c r="T809" i="11"/>
  <c r="S809" i="11"/>
  <c r="R809" i="11"/>
  <c r="Q809" i="11"/>
  <c r="P809" i="11"/>
  <c r="M809" i="11"/>
  <c r="L809" i="11"/>
  <c r="K809" i="11"/>
  <c r="I809" i="11"/>
  <c r="H809" i="11"/>
  <c r="G809" i="11"/>
  <c r="F809" i="11"/>
  <c r="D809" i="11"/>
  <c r="C809" i="11"/>
  <c r="A809" i="11"/>
  <c r="T808" i="11"/>
  <c r="S808" i="11"/>
  <c r="R808" i="11"/>
  <c r="Q808" i="11"/>
  <c r="M808" i="11"/>
  <c r="L808" i="11"/>
  <c r="K808" i="11"/>
  <c r="I808" i="11"/>
  <c r="H808" i="11"/>
  <c r="G808" i="11"/>
  <c r="F808" i="11"/>
  <c r="D808" i="11"/>
  <c r="C808" i="11"/>
  <c r="A808" i="11"/>
  <c r="T807" i="11"/>
  <c r="S807" i="11"/>
  <c r="R807" i="11"/>
  <c r="Q807" i="11"/>
  <c r="P807" i="11"/>
  <c r="M807" i="11"/>
  <c r="L807" i="11"/>
  <c r="K807" i="11"/>
  <c r="I807" i="11"/>
  <c r="H807" i="11"/>
  <c r="G807" i="11"/>
  <c r="F807" i="11"/>
  <c r="D807" i="11"/>
  <c r="C807" i="11"/>
  <c r="A807" i="11"/>
  <c r="T806" i="11"/>
  <c r="S806" i="11"/>
  <c r="R806" i="11"/>
  <c r="Q806" i="11"/>
  <c r="P806" i="11"/>
  <c r="M806" i="11"/>
  <c r="L806" i="11"/>
  <c r="K806" i="11"/>
  <c r="I806" i="11"/>
  <c r="H806" i="11"/>
  <c r="G806" i="11"/>
  <c r="F806" i="11"/>
  <c r="D806" i="11"/>
  <c r="C806" i="11"/>
  <c r="A806" i="11"/>
  <c r="T805" i="11"/>
  <c r="S805" i="11"/>
  <c r="R805" i="11"/>
  <c r="Q805" i="11"/>
  <c r="P805" i="11"/>
  <c r="M805" i="11"/>
  <c r="L805" i="11"/>
  <c r="K805" i="11"/>
  <c r="I805" i="11"/>
  <c r="H805" i="11"/>
  <c r="G805" i="11"/>
  <c r="F805" i="11"/>
  <c r="D805" i="11"/>
  <c r="C805" i="11"/>
  <c r="A805" i="11"/>
  <c r="T804" i="11"/>
  <c r="S804" i="11"/>
  <c r="R804" i="11"/>
  <c r="Q804" i="11"/>
  <c r="P804" i="11"/>
  <c r="M804" i="11"/>
  <c r="L804" i="11"/>
  <c r="K804" i="11"/>
  <c r="I804" i="11"/>
  <c r="H804" i="11"/>
  <c r="G804" i="11"/>
  <c r="F804" i="11"/>
  <c r="D804" i="11"/>
  <c r="C804" i="11"/>
  <c r="A804" i="11"/>
  <c r="T803" i="11"/>
  <c r="S803" i="11"/>
  <c r="R803" i="11"/>
  <c r="Q803" i="11"/>
  <c r="P803" i="11"/>
  <c r="M803" i="11"/>
  <c r="L803" i="11"/>
  <c r="K803" i="11"/>
  <c r="I803" i="11"/>
  <c r="H803" i="11"/>
  <c r="G803" i="11"/>
  <c r="F803" i="11"/>
  <c r="D803" i="11"/>
  <c r="C803" i="11"/>
  <c r="A803" i="11"/>
  <c r="T802" i="11"/>
  <c r="S802" i="11"/>
  <c r="R802" i="11"/>
  <c r="Q802" i="11"/>
  <c r="P802" i="11"/>
  <c r="M802" i="11"/>
  <c r="L802" i="11"/>
  <c r="K802" i="11"/>
  <c r="I802" i="11"/>
  <c r="H802" i="11"/>
  <c r="G802" i="11"/>
  <c r="F802" i="11"/>
  <c r="D802" i="11"/>
  <c r="C802" i="11"/>
  <c r="A802" i="11"/>
  <c r="T801" i="11"/>
  <c r="S801" i="11"/>
  <c r="R801" i="11"/>
  <c r="Q801" i="11"/>
  <c r="P801" i="11"/>
  <c r="M801" i="11"/>
  <c r="L801" i="11"/>
  <c r="K801" i="11"/>
  <c r="I801" i="11"/>
  <c r="H801" i="11"/>
  <c r="G801" i="11"/>
  <c r="F801" i="11"/>
  <c r="D801" i="11"/>
  <c r="C801" i="11"/>
  <c r="A801" i="11"/>
  <c r="T800" i="11"/>
  <c r="S800" i="11"/>
  <c r="R800" i="11"/>
  <c r="Q800" i="11"/>
  <c r="P800" i="11"/>
  <c r="M800" i="11"/>
  <c r="L800" i="11"/>
  <c r="K800" i="11"/>
  <c r="I800" i="11"/>
  <c r="H800" i="11"/>
  <c r="G800" i="11"/>
  <c r="F800" i="11"/>
  <c r="D800" i="11"/>
  <c r="C800" i="11"/>
  <c r="A800" i="11"/>
  <c r="T799" i="11"/>
  <c r="S799" i="11"/>
  <c r="R799" i="11"/>
  <c r="Q799" i="11"/>
  <c r="P799" i="11"/>
  <c r="M799" i="11"/>
  <c r="L799" i="11"/>
  <c r="K799" i="11"/>
  <c r="I799" i="11"/>
  <c r="H799" i="11"/>
  <c r="G799" i="11"/>
  <c r="F799" i="11"/>
  <c r="D799" i="11"/>
  <c r="C799" i="11"/>
  <c r="A799" i="11"/>
  <c r="T798" i="11"/>
  <c r="S798" i="11"/>
  <c r="R798" i="11"/>
  <c r="Q798" i="11"/>
  <c r="P798" i="11"/>
  <c r="M798" i="11"/>
  <c r="L798" i="11"/>
  <c r="K798" i="11"/>
  <c r="I798" i="11"/>
  <c r="H798" i="11"/>
  <c r="G798" i="11"/>
  <c r="F798" i="11"/>
  <c r="D798" i="11"/>
  <c r="C798" i="11"/>
  <c r="A798" i="11"/>
  <c r="T797" i="11"/>
  <c r="S797" i="11"/>
  <c r="R797" i="11"/>
  <c r="Q797" i="11"/>
  <c r="P797" i="11"/>
  <c r="M797" i="11"/>
  <c r="L797" i="11"/>
  <c r="K797" i="11"/>
  <c r="I797" i="11"/>
  <c r="H797" i="11"/>
  <c r="G797" i="11"/>
  <c r="F797" i="11"/>
  <c r="D797" i="11"/>
  <c r="C797" i="11"/>
  <c r="A797" i="11"/>
  <c r="T796" i="11"/>
  <c r="S796" i="11"/>
  <c r="R796" i="11"/>
  <c r="Q796" i="11"/>
  <c r="P796" i="11"/>
  <c r="M796" i="11"/>
  <c r="L796" i="11"/>
  <c r="K796" i="11"/>
  <c r="I796" i="11"/>
  <c r="H796" i="11"/>
  <c r="G796" i="11"/>
  <c r="F796" i="11"/>
  <c r="D796" i="11"/>
  <c r="C796" i="11"/>
  <c r="A796" i="11"/>
  <c r="T795" i="11"/>
  <c r="S795" i="11"/>
  <c r="R795" i="11"/>
  <c r="Q795" i="11"/>
  <c r="P795" i="11"/>
  <c r="M795" i="11"/>
  <c r="L795" i="11"/>
  <c r="K795" i="11"/>
  <c r="I795" i="11"/>
  <c r="H795" i="11"/>
  <c r="G795" i="11"/>
  <c r="F795" i="11"/>
  <c r="D795" i="11"/>
  <c r="C795" i="11"/>
  <c r="A795" i="11"/>
  <c r="T794" i="11"/>
  <c r="S794" i="11"/>
  <c r="R794" i="11"/>
  <c r="Q794" i="11"/>
  <c r="M794" i="11"/>
  <c r="K794" i="11"/>
  <c r="I794" i="11"/>
  <c r="H794" i="11"/>
  <c r="G794" i="11"/>
  <c r="F794" i="11"/>
  <c r="D794" i="11"/>
  <c r="C794" i="11"/>
  <c r="A794" i="11"/>
  <c r="T793" i="11"/>
  <c r="S793" i="11"/>
  <c r="R793" i="11"/>
  <c r="Q793" i="11"/>
  <c r="M793" i="11"/>
  <c r="L793" i="11"/>
  <c r="K793" i="11"/>
  <c r="I793" i="11"/>
  <c r="H793" i="11"/>
  <c r="G793" i="11"/>
  <c r="F793" i="11"/>
  <c r="D793" i="11"/>
  <c r="C793" i="11"/>
  <c r="A793" i="11"/>
  <c r="T792" i="11"/>
  <c r="S792" i="11"/>
  <c r="R792" i="11"/>
  <c r="Q792" i="11"/>
  <c r="P792" i="11"/>
  <c r="M792" i="11"/>
  <c r="L792" i="11"/>
  <c r="K792" i="11"/>
  <c r="I792" i="11"/>
  <c r="H792" i="11"/>
  <c r="G792" i="11"/>
  <c r="F792" i="11"/>
  <c r="D792" i="11"/>
  <c r="C792" i="11"/>
  <c r="A792" i="11"/>
  <c r="T791" i="11"/>
  <c r="S791" i="11"/>
  <c r="R791" i="11"/>
  <c r="Q791" i="11"/>
  <c r="M791" i="11"/>
  <c r="L791" i="11"/>
  <c r="K791" i="11"/>
  <c r="I791" i="11"/>
  <c r="H791" i="11"/>
  <c r="G791" i="11"/>
  <c r="F791" i="11"/>
  <c r="D791" i="11"/>
  <c r="C791" i="11"/>
  <c r="A791" i="11"/>
  <c r="T790" i="11"/>
  <c r="S790" i="11"/>
  <c r="R790" i="11"/>
  <c r="Q790" i="11"/>
  <c r="P790" i="11"/>
  <c r="M790" i="11"/>
  <c r="L790" i="11"/>
  <c r="K790" i="11"/>
  <c r="I790" i="11"/>
  <c r="H790" i="11"/>
  <c r="G790" i="11"/>
  <c r="F790" i="11"/>
  <c r="D790" i="11"/>
  <c r="C790" i="11"/>
  <c r="A790" i="11"/>
  <c r="T789" i="11"/>
  <c r="S789" i="11"/>
  <c r="R789" i="11"/>
  <c r="Q789" i="11"/>
  <c r="M789" i="11"/>
  <c r="L789" i="11"/>
  <c r="K789" i="11"/>
  <c r="I789" i="11"/>
  <c r="H789" i="11"/>
  <c r="G789" i="11"/>
  <c r="F789" i="11"/>
  <c r="D789" i="11"/>
  <c r="C789" i="11"/>
  <c r="A789" i="11"/>
  <c r="T788" i="11"/>
  <c r="S788" i="11"/>
  <c r="R788" i="11"/>
  <c r="Q788" i="11"/>
  <c r="M788" i="11"/>
  <c r="L788" i="11"/>
  <c r="K788" i="11"/>
  <c r="F788" i="11"/>
  <c r="D788" i="11"/>
  <c r="C788" i="11"/>
  <c r="B788" i="11"/>
  <c r="A788" i="11"/>
  <c r="T787" i="11"/>
  <c r="S787" i="11"/>
  <c r="R787" i="11"/>
  <c r="Q787" i="11"/>
  <c r="P787" i="11"/>
  <c r="M787" i="11"/>
  <c r="L787" i="11"/>
  <c r="K787" i="11"/>
  <c r="I787" i="11"/>
  <c r="H787" i="11"/>
  <c r="G787" i="11"/>
  <c r="F787" i="11"/>
  <c r="D787" i="11"/>
  <c r="C787" i="11"/>
  <c r="A787" i="11"/>
  <c r="T786" i="11"/>
  <c r="S786" i="11"/>
  <c r="R786" i="11"/>
  <c r="Q786" i="11"/>
  <c r="P786" i="11"/>
  <c r="M786" i="11"/>
  <c r="L786" i="11"/>
  <c r="K786" i="11"/>
  <c r="I786" i="11"/>
  <c r="H786" i="11"/>
  <c r="G786" i="11"/>
  <c r="F786" i="11"/>
  <c r="D786" i="11"/>
  <c r="C786" i="11"/>
  <c r="A786" i="11"/>
  <c r="T785" i="11"/>
  <c r="S785" i="11"/>
  <c r="R785" i="11"/>
  <c r="Q785" i="11"/>
  <c r="P785" i="11"/>
  <c r="M785" i="11"/>
  <c r="L785" i="11"/>
  <c r="K785" i="11"/>
  <c r="I785" i="11"/>
  <c r="H785" i="11"/>
  <c r="G785" i="11"/>
  <c r="F785" i="11"/>
  <c r="D785" i="11"/>
  <c r="C785" i="11"/>
  <c r="A785" i="11"/>
  <c r="T784" i="11"/>
  <c r="S784" i="11"/>
  <c r="R784" i="11"/>
  <c r="Q784" i="11"/>
  <c r="P784" i="11"/>
  <c r="M784" i="11"/>
  <c r="L784" i="11"/>
  <c r="K784" i="11"/>
  <c r="I784" i="11"/>
  <c r="H784" i="11"/>
  <c r="G784" i="11"/>
  <c r="F784" i="11"/>
  <c r="D784" i="11"/>
  <c r="C784" i="11"/>
  <c r="B784" i="11"/>
  <c r="A784" i="11"/>
  <c r="T783" i="11"/>
  <c r="S783" i="11"/>
  <c r="R783" i="11"/>
  <c r="Q783" i="11"/>
  <c r="P783" i="11"/>
  <c r="M783" i="11"/>
  <c r="L783" i="11"/>
  <c r="K783" i="11"/>
  <c r="I783" i="11"/>
  <c r="H783" i="11"/>
  <c r="G783" i="11"/>
  <c r="F783" i="11"/>
  <c r="D783" i="11"/>
  <c r="C783" i="11"/>
  <c r="B783" i="11"/>
  <c r="A783" i="11"/>
  <c r="T782" i="11"/>
  <c r="S782" i="11"/>
  <c r="R782" i="11"/>
  <c r="Q782" i="11"/>
  <c r="M782" i="11"/>
  <c r="L782" i="11"/>
  <c r="K782" i="11"/>
  <c r="I782" i="11"/>
  <c r="H782" i="11"/>
  <c r="G782" i="11"/>
  <c r="F782" i="11"/>
  <c r="D782" i="11"/>
  <c r="C782" i="11"/>
  <c r="B782" i="11"/>
  <c r="A782" i="11"/>
  <c r="T781" i="11"/>
  <c r="S781" i="11"/>
  <c r="R781" i="11"/>
  <c r="Q781" i="11"/>
  <c r="P781" i="11"/>
  <c r="M781" i="11"/>
  <c r="L781" i="11"/>
  <c r="K781" i="11"/>
  <c r="I781" i="11"/>
  <c r="H781" i="11"/>
  <c r="G781" i="11"/>
  <c r="F781" i="11"/>
  <c r="D781" i="11"/>
  <c r="C781" i="11"/>
  <c r="A781" i="11"/>
  <c r="T780" i="11"/>
  <c r="S780" i="11"/>
  <c r="R780" i="11"/>
  <c r="Q780" i="11"/>
  <c r="P780" i="11"/>
  <c r="M780" i="11"/>
  <c r="L780" i="11"/>
  <c r="K780" i="11"/>
  <c r="I780" i="11"/>
  <c r="H780" i="11"/>
  <c r="G780" i="11"/>
  <c r="F780" i="11"/>
  <c r="D780" i="11"/>
  <c r="C780" i="11"/>
  <c r="A780" i="11"/>
  <c r="T779" i="11"/>
  <c r="S779" i="11"/>
  <c r="R779" i="11"/>
  <c r="Q779" i="11"/>
  <c r="P779" i="11"/>
  <c r="O779" i="11"/>
  <c r="M779" i="11"/>
  <c r="L779" i="11"/>
  <c r="K779" i="11"/>
  <c r="I779" i="11"/>
  <c r="H779" i="11"/>
  <c r="G779" i="11"/>
  <c r="F779" i="11"/>
  <c r="D779" i="11"/>
  <c r="C779" i="11"/>
  <c r="A779" i="11"/>
  <c r="T778" i="11"/>
  <c r="S778" i="11"/>
  <c r="R778" i="11"/>
  <c r="Q778" i="11"/>
  <c r="P778" i="11"/>
  <c r="O778" i="11"/>
  <c r="M778" i="11"/>
  <c r="L778" i="11"/>
  <c r="K778" i="11"/>
  <c r="I778" i="11"/>
  <c r="H778" i="11"/>
  <c r="G778" i="11"/>
  <c r="F778" i="11"/>
  <c r="D778" i="11"/>
  <c r="C778" i="11"/>
  <c r="B778" i="11"/>
  <c r="A778" i="11"/>
  <c r="T777" i="11"/>
  <c r="S777" i="11"/>
  <c r="R777" i="11"/>
  <c r="Q777" i="11"/>
  <c r="P777" i="11"/>
  <c r="O777" i="11"/>
  <c r="M777" i="11"/>
  <c r="L777" i="11"/>
  <c r="K777" i="11"/>
  <c r="I777" i="11"/>
  <c r="H777" i="11"/>
  <c r="G777" i="11"/>
  <c r="F777" i="11"/>
  <c r="D777" i="11"/>
  <c r="C777" i="11"/>
  <c r="B777" i="11"/>
  <c r="A777" i="11"/>
  <c r="T776" i="11"/>
  <c r="S776" i="11"/>
  <c r="R776" i="11"/>
  <c r="Q776" i="11"/>
  <c r="P776" i="11"/>
  <c r="O776" i="11"/>
  <c r="M776" i="11"/>
  <c r="L776" i="11"/>
  <c r="K776" i="11"/>
  <c r="I776" i="11"/>
  <c r="H776" i="11"/>
  <c r="G776" i="11"/>
  <c r="F776" i="11"/>
  <c r="D776" i="11"/>
  <c r="C776" i="11"/>
  <c r="B776" i="11"/>
  <c r="A776" i="11"/>
  <c r="T775" i="11"/>
  <c r="S775" i="11"/>
  <c r="R775" i="11"/>
  <c r="Q775" i="11"/>
  <c r="P775" i="11"/>
  <c r="O775" i="11"/>
  <c r="M775" i="11"/>
  <c r="L775" i="11"/>
  <c r="K775" i="11"/>
  <c r="I775" i="11"/>
  <c r="H775" i="11"/>
  <c r="G775" i="11"/>
  <c r="F775" i="11"/>
  <c r="D775" i="11"/>
  <c r="C775" i="11"/>
  <c r="B775" i="11"/>
  <c r="A775" i="11"/>
  <c r="T774" i="11"/>
  <c r="S774" i="11"/>
  <c r="R774" i="11"/>
  <c r="Q774" i="11"/>
  <c r="P774" i="11"/>
  <c r="O774" i="11"/>
  <c r="M774" i="11"/>
  <c r="L774" i="11"/>
  <c r="K774" i="11"/>
  <c r="I774" i="11"/>
  <c r="H774" i="11"/>
  <c r="G774" i="11"/>
  <c r="F774" i="11"/>
  <c r="D774" i="11"/>
  <c r="C774" i="11"/>
  <c r="B774" i="11"/>
  <c r="A774" i="11"/>
  <c r="T773" i="11"/>
  <c r="S773" i="11"/>
  <c r="R773" i="11"/>
  <c r="Q773" i="11"/>
  <c r="O773" i="11"/>
  <c r="M773" i="11"/>
  <c r="L773" i="11"/>
  <c r="K773" i="11"/>
  <c r="I773" i="11"/>
  <c r="H773" i="11"/>
  <c r="G773" i="11"/>
  <c r="F773" i="11"/>
  <c r="D773" i="11"/>
  <c r="C773" i="11"/>
  <c r="B773" i="11"/>
  <c r="A773" i="11"/>
  <c r="T772" i="11"/>
  <c r="S772" i="11"/>
  <c r="R772" i="11"/>
  <c r="Q772" i="11"/>
  <c r="P772" i="11"/>
  <c r="O772" i="11"/>
  <c r="M772" i="11"/>
  <c r="L772" i="11"/>
  <c r="K772" i="11"/>
  <c r="I772" i="11"/>
  <c r="H772" i="11"/>
  <c r="G772" i="11"/>
  <c r="F772" i="11"/>
  <c r="D772" i="11"/>
  <c r="C772" i="11"/>
  <c r="B772" i="11"/>
  <c r="A772" i="11"/>
  <c r="T771" i="11"/>
  <c r="S771" i="11"/>
  <c r="R771" i="11"/>
  <c r="Q771" i="11"/>
  <c r="P771" i="11"/>
  <c r="O771" i="11"/>
  <c r="M771" i="11"/>
  <c r="L771" i="11"/>
  <c r="K771" i="11"/>
  <c r="I771" i="11"/>
  <c r="H771" i="11"/>
  <c r="G771" i="11"/>
  <c r="F771" i="11"/>
  <c r="D771" i="11"/>
  <c r="C771" i="11"/>
  <c r="B771" i="11"/>
  <c r="A771" i="11"/>
  <c r="T770" i="11"/>
  <c r="S770" i="11"/>
  <c r="R770" i="11"/>
  <c r="Q770" i="11"/>
  <c r="P770" i="11"/>
  <c r="O770" i="11"/>
  <c r="M770" i="11"/>
  <c r="L770" i="11"/>
  <c r="K770" i="11"/>
  <c r="I770" i="11"/>
  <c r="H770" i="11"/>
  <c r="G770" i="11"/>
  <c r="F770" i="11"/>
  <c r="D770" i="11"/>
  <c r="C770" i="11"/>
  <c r="B770" i="11"/>
  <c r="A770" i="11"/>
  <c r="T769" i="11"/>
  <c r="S769" i="11"/>
  <c r="R769" i="11"/>
  <c r="Q769" i="11"/>
  <c r="P769" i="11"/>
  <c r="O769" i="11"/>
  <c r="M769" i="11"/>
  <c r="L769" i="11"/>
  <c r="K769" i="11"/>
  <c r="I769" i="11"/>
  <c r="H769" i="11"/>
  <c r="G769" i="11"/>
  <c r="F769" i="11"/>
  <c r="D769" i="11"/>
  <c r="C769" i="11"/>
  <c r="B769" i="11"/>
  <c r="A769" i="11"/>
  <c r="T768" i="11"/>
  <c r="S768" i="11"/>
  <c r="R768" i="11"/>
  <c r="Q768" i="11"/>
  <c r="P768" i="11"/>
  <c r="O768" i="11"/>
  <c r="M768" i="11"/>
  <c r="L768" i="11"/>
  <c r="K768" i="11"/>
  <c r="I768" i="11"/>
  <c r="H768" i="11"/>
  <c r="G768" i="11"/>
  <c r="F768" i="11"/>
  <c r="D768" i="11"/>
  <c r="C768" i="11"/>
  <c r="B768" i="11"/>
  <c r="A768" i="11"/>
  <c r="T767" i="11"/>
  <c r="S767" i="11"/>
  <c r="R767" i="11"/>
  <c r="Q767" i="11"/>
  <c r="P767" i="11"/>
  <c r="O767" i="11"/>
  <c r="M767" i="11"/>
  <c r="L767" i="11"/>
  <c r="K767" i="11"/>
  <c r="I767" i="11"/>
  <c r="H767" i="11"/>
  <c r="G767" i="11"/>
  <c r="F767" i="11"/>
  <c r="D767" i="11"/>
  <c r="C767" i="11"/>
  <c r="B767" i="11"/>
  <c r="A767" i="11"/>
  <c r="T766" i="11"/>
  <c r="S766" i="11"/>
  <c r="R766" i="11"/>
  <c r="Q766" i="11"/>
  <c r="P766" i="11"/>
  <c r="O766" i="11"/>
  <c r="M766" i="11"/>
  <c r="L766" i="11"/>
  <c r="K766" i="11"/>
  <c r="I766" i="11"/>
  <c r="H766" i="11"/>
  <c r="G766" i="11"/>
  <c r="F766" i="11"/>
  <c r="D766" i="11"/>
  <c r="C766" i="11"/>
  <c r="B766" i="11"/>
  <c r="A766" i="11"/>
  <c r="T765" i="11"/>
  <c r="S765" i="11"/>
  <c r="R765" i="11"/>
  <c r="Q765" i="11"/>
  <c r="P765" i="11"/>
  <c r="O765" i="11"/>
  <c r="M765" i="11"/>
  <c r="L765" i="11"/>
  <c r="K765" i="11"/>
  <c r="I765" i="11"/>
  <c r="H765" i="11"/>
  <c r="G765" i="11"/>
  <c r="F765" i="11"/>
  <c r="D765" i="11"/>
  <c r="C765" i="11"/>
  <c r="B765" i="11"/>
  <c r="A765" i="11"/>
  <c r="T764" i="11"/>
  <c r="S764" i="11"/>
  <c r="Q764" i="11"/>
  <c r="P764" i="11"/>
  <c r="O764" i="11"/>
  <c r="M764" i="11"/>
  <c r="L764" i="11"/>
  <c r="K764" i="11"/>
  <c r="I764" i="11"/>
  <c r="H764" i="11"/>
  <c r="G764" i="11"/>
  <c r="F764" i="11"/>
  <c r="D764" i="11"/>
  <c r="C764" i="11"/>
  <c r="B764" i="11"/>
  <c r="A764" i="11"/>
  <c r="T763" i="11"/>
  <c r="S763" i="11"/>
  <c r="R763" i="11"/>
  <c r="Q763" i="11"/>
  <c r="P763" i="11"/>
  <c r="O763" i="11"/>
  <c r="M763" i="11"/>
  <c r="L763" i="11"/>
  <c r="K763" i="11"/>
  <c r="I763" i="11"/>
  <c r="H763" i="11"/>
  <c r="G763" i="11"/>
  <c r="F763" i="11"/>
  <c r="D763" i="11"/>
  <c r="C763" i="11"/>
  <c r="B763" i="11"/>
  <c r="A763" i="11"/>
  <c r="T762" i="11"/>
  <c r="S762" i="11"/>
  <c r="R762" i="11"/>
  <c r="Q762" i="11"/>
  <c r="P762" i="11"/>
  <c r="O762" i="11"/>
  <c r="M762" i="11"/>
  <c r="L762" i="11"/>
  <c r="K762" i="11"/>
  <c r="I762" i="11"/>
  <c r="H762" i="11"/>
  <c r="G762" i="11"/>
  <c r="F762" i="11"/>
  <c r="D762" i="11"/>
  <c r="C762" i="11"/>
  <c r="B762" i="11"/>
  <c r="A762" i="11"/>
  <c r="T761" i="11"/>
  <c r="S761" i="11"/>
  <c r="R761" i="11"/>
  <c r="Q761" i="11"/>
  <c r="P761" i="11"/>
  <c r="O761" i="11"/>
  <c r="M761" i="11"/>
  <c r="L761" i="11"/>
  <c r="K761" i="11"/>
  <c r="I761" i="11"/>
  <c r="H761" i="11"/>
  <c r="G761" i="11"/>
  <c r="F761" i="11"/>
  <c r="D761" i="11"/>
  <c r="C761" i="11"/>
  <c r="B761" i="11"/>
  <c r="A761" i="11"/>
  <c r="T760" i="11"/>
  <c r="S760" i="11"/>
  <c r="R760" i="11"/>
  <c r="Q760" i="11"/>
  <c r="P760" i="11"/>
  <c r="O760" i="11"/>
  <c r="M760" i="11"/>
  <c r="L760" i="11"/>
  <c r="K760" i="11"/>
  <c r="I760" i="11"/>
  <c r="H760" i="11"/>
  <c r="G760" i="11"/>
  <c r="F760" i="11"/>
  <c r="D760" i="11"/>
  <c r="C760" i="11"/>
  <c r="B760" i="11"/>
  <c r="A760" i="11"/>
  <c r="T759" i="11"/>
  <c r="S759" i="11"/>
  <c r="R759" i="11"/>
  <c r="Q759" i="11"/>
  <c r="P759" i="11"/>
  <c r="L759" i="11"/>
  <c r="K759" i="11"/>
  <c r="I759" i="11"/>
  <c r="H759" i="11"/>
  <c r="F759" i="11"/>
  <c r="D759" i="11"/>
  <c r="C759" i="11"/>
  <c r="A759" i="11"/>
  <c r="T758" i="11"/>
  <c r="S758" i="11"/>
  <c r="R758" i="11"/>
  <c r="Q758" i="11"/>
  <c r="P758" i="11"/>
  <c r="O758" i="11"/>
  <c r="M758" i="11"/>
  <c r="L758" i="11"/>
  <c r="K758" i="11"/>
  <c r="I758" i="11"/>
  <c r="H758" i="11"/>
  <c r="G758" i="11"/>
  <c r="F758" i="11"/>
  <c r="D758" i="11"/>
  <c r="C758" i="11"/>
  <c r="B758" i="11"/>
  <c r="A758" i="11"/>
  <c r="T757" i="11"/>
  <c r="S757" i="11"/>
  <c r="R757" i="11"/>
  <c r="Q757" i="11"/>
  <c r="P757" i="11"/>
  <c r="O757" i="11"/>
  <c r="M757" i="11"/>
  <c r="L757" i="11"/>
  <c r="K757" i="11"/>
  <c r="I757" i="11"/>
  <c r="H757" i="11"/>
  <c r="G757" i="11"/>
  <c r="F757" i="11"/>
  <c r="D757" i="11"/>
  <c r="C757" i="11"/>
  <c r="B757" i="11"/>
  <c r="A757" i="11"/>
  <c r="T756" i="11"/>
  <c r="S756" i="11"/>
  <c r="R756" i="11"/>
  <c r="Q756" i="11"/>
  <c r="P756" i="11"/>
  <c r="M756" i="11"/>
  <c r="L756" i="11"/>
  <c r="K756" i="11"/>
  <c r="I756" i="11"/>
  <c r="H756" i="11"/>
  <c r="G756" i="11"/>
  <c r="F756" i="11"/>
  <c r="D756" i="11"/>
  <c r="C756" i="11"/>
  <c r="B756" i="11"/>
  <c r="A756" i="11"/>
  <c r="T755" i="11"/>
  <c r="S755" i="11"/>
  <c r="R755" i="11"/>
  <c r="Q755" i="11"/>
  <c r="P755" i="11"/>
  <c r="O755" i="11"/>
  <c r="M755" i="11"/>
  <c r="L755" i="11"/>
  <c r="K755" i="11"/>
  <c r="I755" i="11"/>
  <c r="H755" i="11"/>
  <c r="G755" i="11"/>
  <c r="F755" i="11"/>
  <c r="D755" i="11"/>
  <c r="C755" i="11"/>
  <c r="B755" i="11"/>
  <c r="A755" i="11"/>
  <c r="T754" i="11"/>
  <c r="S754" i="11"/>
  <c r="R754" i="11"/>
  <c r="Q754" i="11"/>
  <c r="P754" i="11"/>
  <c r="O754" i="11"/>
  <c r="M754" i="11"/>
  <c r="L754" i="11"/>
  <c r="K754" i="11"/>
  <c r="I754" i="11"/>
  <c r="H754" i="11"/>
  <c r="G754" i="11"/>
  <c r="F754" i="11"/>
  <c r="D754" i="11"/>
  <c r="C754" i="11"/>
  <c r="B754" i="11"/>
  <c r="A754" i="11"/>
  <c r="T753" i="11"/>
  <c r="S753" i="11"/>
  <c r="R753" i="11"/>
  <c r="Q753" i="11"/>
  <c r="P753" i="11"/>
  <c r="O753" i="11"/>
  <c r="M753" i="11"/>
  <c r="L753" i="11"/>
  <c r="K753" i="11"/>
  <c r="I753" i="11"/>
  <c r="H753" i="11"/>
  <c r="G753" i="11"/>
  <c r="F753" i="11"/>
  <c r="D753" i="11"/>
  <c r="C753" i="11"/>
  <c r="B753" i="11"/>
  <c r="A753" i="11"/>
  <c r="T752" i="11"/>
  <c r="S752" i="11"/>
  <c r="R752" i="11"/>
  <c r="Q752" i="11"/>
  <c r="P752" i="11"/>
  <c r="M752" i="11"/>
  <c r="L752" i="11"/>
  <c r="K752" i="11"/>
  <c r="I752" i="11"/>
  <c r="H752" i="11"/>
  <c r="F752" i="11"/>
  <c r="D752" i="11"/>
  <c r="C752" i="11"/>
  <c r="B752" i="11"/>
  <c r="A752" i="11"/>
  <c r="T751" i="11"/>
  <c r="S751" i="11"/>
  <c r="R751" i="11"/>
  <c r="Q751" i="11"/>
  <c r="P751" i="11"/>
  <c r="O751" i="11"/>
  <c r="M751" i="11"/>
  <c r="L751" i="11"/>
  <c r="K751" i="11"/>
  <c r="I751" i="11"/>
  <c r="H751" i="11"/>
  <c r="G751" i="11"/>
  <c r="F751" i="11"/>
  <c r="D751" i="11"/>
  <c r="C751" i="11"/>
  <c r="A751" i="11"/>
  <c r="T750" i="11"/>
  <c r="S750" i="11"/>
  <c r="R750" i="11"/>
  <c r="Q750" i="11"/>
  <c r="P750" i="11"/>
  <c r="O750" i="11"/>
  <c r="M750" i="11"/>
  <c r="L750" i="11"/>
  <c r="K750" i="11"/>
  <c r="I750" i="11"/>
  <c r="H750" i="11"/>
  <c r="F750" i="11"/>
  <c r="D750" i="11"/>
  <c r="C750" i="11"/>
  <c r="A750" i="11"/>
  <c r="T749" i="11"/>
  <c r="S749" i="11"/>
  <c r="R749" i="11"/>
  <c r="Q749" i="11"/>
  <c r="P749" i="11"/>
  <c r="O749" i="11"/>
  <c r="M749" i="11"/>
  <c r="L749" i="11"/>
  <c r="K749" i="11"/>
  <c r="I749" i="11"/>
  <c r="H749" i="11"/>
  <c r="G749" i="11"/>
  <c r="F749" i="11"/>
  <c r="D749" i="11"/>
  <c r="C749" i="11"/>
  <c r="B749" i="11"/>
  <c r="A749" i="11"/>
  <c r="T748" i="11"/>
  <c r="S748" i="11"/>
  <c r="R748" i="11"/>
  <c r="Q748" i="11"/>
  <c r="P748" i="11"/>
  <c r="O748" i="11"/>
  <c r="M748" i="11"/>
  <c r="L748" i="11"/>
  <c r="K748" i="11"/>
  <c r="I748" i="11"/>
  <c r="H748" i="11"/>
  <c r="G748" i="11"/>
  <c r="F748" i="11"/>
  <c r="D748" i="11"/>
  <c r="C748" i="11"/>
  <c r="B748" i="11"/>
  <c r="A748" i="11"/>
  <c r="T747" i="11"/>
  <c r="S747" i="11"/>
  <c r="R747" i="11"/>
  <c r="Q747" i="11"/>
  <c r="P747" i="11"/>
  <c r="O747" i="11"/>
  <c r="M747" i="11"/>
  <c r="L747" i="11"/>
  <c r="K747" i="11"/>
  <c r="I747" i="11"/>
  <c r="H747" i="11"/>
  <c r="G747" i="11"/>
  <c r="F747" i="11"/>
  <c r="D747" i="11"/>
  <c r="C747" i="11"/>
  <c r="B747" i="11"/>
  <c r="A747" i="11"/>
  <c r="T746" i="11"/>
  <c r="S746" i="11"/>
  <c r="R746" i="11"/>
  <c r="Q746" i="11"/>
  <c r="P746" i="11"/>
  <c r="O746" i="11"/>
  <c r="M746" i="11"/>
  <c r="L746" i="11"/>
  <c r="K746" i="11"/>
  <c r="I746" i="11"/>
  <c r="H746" i="11"/>
  <c r="G746" i="11"/>
  <c r="F746" i="11"/>
  <c r="D746" i="11"/>
  <c r="C746" i="11"/>
  <c r="B746" i="11"/>
  <c r="A746" i="11"/>
  <c r="T745" i="11"/>
  <c r="S745" i="11"/>
  <c r="R745" i="11"/>
  <c r="Q745" i="11"/>
  <c r="P745" i="11"/>
  <c r="O745" i="11"/>
  <c r="M745" i="11"/>
  <c r="L745" i="11"/>
  <c r="K745" i="11"/>
  <c r="I745" i="11"/>
  <c r="H745" i="11"/>
  <c r="G745" i="11"/>
  <c r="F745" i="11"/>
  <c r="D745" i="11"/>
  <c r="C745" i="11"/>
  <c r="B745" i="11"/>
  <c r="A745" i="11"/>
  <c r="T744" i="11"/>
  <c r="S744" i="11"/>
  <c r="R744" i="11"/>
  <c r="Q744" i="11"/>
  <c r="P744" i="11"/>
  <c r="O744" i="11"/>
  <c r="M744" i="11"/>
  <c r="L744" i="11"/>
  <c r="K744" i="11"/>
  <c r="I744" i="11"/>
  <c r="H744" i="11"/>
  <c r="G744" i="11"/>
  <c r="F744" i="11"/>
  <c r="D744" i="11"/>
  <c r="C744" i="11"/>
  <c r="B744" i="11"/>
  <c r="A744" i="11"/>
  <c r="T743" i="11"/>
  <c r="S743" i="11"/>
  <c r="R743" i="11"/>
  <c r="Q743" i="11"/>
  <c r="P743" i="11"/>
  <c r="O743" i="11"/>
  <c r="M743" i="11"/>
  <c r="L743" i="11"/>
  <c r="K743" i="11"/>
  <c r="I743" i="11"/>
  <c r="H743" i="11"/>
  <c r="G743" i="11"/>
  <c r="F743" i="11"/>
  <c r="D743" i="11"/>
  <c r="C743" i="11"/>
  <c r="B743" i="11"/>
  <c r="A743" i="11"/>
  <c r="T742" i="11"/>
  <c r="S742" i="11"/>
  <c r="R742" i="11"/>
  <c r="Q742" i="11"/>
  <c r="P742" i="11"/>
  <c r="O742" i="11"/>
  <c r="M742" i="11"/>
  <c r="L742" i="11"/>
  <c r="K742" i="11"/>
  <c r="I742" i="11"/>
  <c r="H742" i="11"/>
  <c r="G742" i="11"/>
  <c r="F742" i="11"/>
  <c r="D742" i="11"/>
  <c r="C742" i="11"/>
  <c r="B742" i="11"/>
  <c r="A742" i="11"/>
  <c r="T741" i="11"/>
  <c r="S741" i="11"/>
  <c r="R741" i="11"/>
  <c r="Q741" i="11"/>
  <c r="P741" i="11"/>
  <c r="O741" i="11"/>
  <c r="M741" i="11"/>
  <c r="L741" i="11"/>
  <c r="K741" i="11"/>
  <c r="I741" i="11"/>
  <c r="H741" i="11"/>
  <c r="G741" i="11"/>
  <c r="F741" i="11"/>
  <c r="D741" i="11"/>
  <c r="C741" i="11"/>
  <c r="B741" i="11"/>
  <c r="A741" i="11"/>
  <c r="T740" i="11"/>
  <c r="S740" i="11"/>
  <c r="R740" i="11"/>
  <c r="Q740" i="11"/>
  <c r="P740" i="11"/>
  <c r="O740" i="11"/>
  <c r="M740" i="11"/>
  <c r="L740" i="11"/>
  <c r="K740" i="11"/>
  <c r="I740" i="11"/>
  <c r="H740" i="11"/>
  <c r="G740" i="11"/>
  <c r="F740" i="11"/>
  <c r="D740" i="11"/>
  <c r="C740" i="11"/>
  <c r="B740" i="11"/>
  <c r="A740" i="11"/>
  <c r="T739" i="11"/>
  <c r="S739" i="11"/>
  <c r="R739" i="11"/>
  <c r="Q739" i="11"/>
  <c r="P739" i="11"/>
  <c r="O739" i="11"/>
  <c r="M739" i="11"/>
  <c r="L739" i="11"/>
  <c r="K739" i="11"/>
  <c r="I739" i="11"/>
  <c r="H739" i="11"/>
  <c r="G739" i="11"/>
  <c r="F739" i="11"/>
  <c r="D739" i="11"/>
  <c r="C739" i="11"/>
  <c r="B739" i="11"/>
  <c r="A739" i="11"/>
  <c r="T738" i="11"/>
  <c r="S738" i="11"/>
  <c r="R738" i="11"/>
  <c r="Q738" i="11"/>
  <c r="P738" i="11"/>
  <c r="O738" i="11"/>
  <c r="M738" i="11"/>
  <c r="L738" i="11"/>
  <c r="K738" i="11"/>
  <c r="I738" i="11"/>
  <c r="H738" i="11"/>
  <c r="G738" i="11"/>
  <c r="F738" i="11"/>
  <c r="D738" i="11"/>
  <c r="C738" i="11"/>
  <c r="B738" i="11"/>
  <c r="A738" i="11"/>
  <c r="T737" i="11"/>
  <c r="S737" i="11"/>
  <c r="R737" i="11"/>
  <c r="Q737" i="11"/>
  <c r="P737" i="11"/>
  <c r="O737" i="11"/>
  <c r="M737" i="11"/>
  <c r="L737" i="11"/>
  <c r="K737" i="11"/>
  <c r="I737" i="11"/>
  <c r="H737" i="11"/>
  <c r="G737" i="11"/>
  <c r="F737" i="11"/>
  <c r="D737" i="11"/>
  <c r="C737" i="11"/>
  <c r="B737" i="11"/>
  <c r="A737" i="11"/>
  <c r="T736" i="11"/>
  <c r="S736" i="11"/>
  <c r="R736" i="11"/>
  <c r="Q736" i="11"/>
  <c r="P736" i="11"/>
  <c r="M736" i="11"/>
  <c r="L736" i="11"/>
  <c r="K736" i="11"/>
  <c r="I736" i="11"/>
  <c r="H736" i="11"/>
  <c r="G736" i="11"/>
  <c r="F736" i="11"/>
  <c r="D736" i="11"/>
  <c r="C736" i="11"/>
  <c r="B736" i="11"/>
  <c r="A736" i="11"/>
  <c r="T735" i="11"/>
  <c r="S735" i="11"/>
  <c r="R735" i="11"/>
  <c r="Q735" i="11"/>
  <c r="P735" i="11"/>
  <c r="O735" i="11"/>
  <c r="M735" i="11"/>
  <c r="L735" i="11"/>
  <c r="K735" i="11"/>
  <c r="I735" i="11"/>
  <c r="H735" i="11"/>
  <c r="G735" i="11"/>
  <c r="F735" i="11"/>
  <c r="D735" i="11"/>
  <c r="C735" i="11"/>
  <c r="B735" i="11"/>
  <c r="A735" i="11"/>
  <c r="T734" i="11"/>
  <c r="S734" i="11"/>
  <c r="R734" i="11"/>
  <c r="Q734" i="11"/>
  <c r="P734" i="11"/>
  <c r="O734" i="11"/>
  <c r="M734" i="11"/>
  <c r="L734" i="11"/>
  <c r="K734" i="11"/>
  <c r="I734" i="11"/>
  <c r="H734" i="11"/>
  <c r="G734" i="11"/>
  <c r="F734" i="11"/>
  <c r="D734" i="11"/>
  <c r="C734" i="11"/>
  <c r="B734" i="11"/>
  <c r="A734" i="11"/>
  <c r="CF730" i="11"/>
  <c r="CE730" i="11"/>
  <c r="CB730" i="11"/>
  <c r="CA730" i="11"/>
  <c r="BY730" i="11"/>
  <c r="BX730" i="11"/>
  <c r="BW730" i="11"/>
  <c r="BV730" i="11"/>
  <c r="BU730" i="11"/>
  <c r="BT730" i="11"/>
  <c r="BS730" i="11"/>
  <c r="BR730" i="11"/>
  <c r="BQ730" i="11"/>
  <c r="BP730" i="11"/>
  <c r="BO730" i="11"/>
  <c r="BM730" i="11"/>
  <c r="BJ730" i="11"/>
  <c r="BF730" i="11"/>
  <c r="BE730" i="11"/>
  <c r="BA730" i="11"/>
  <c r="AZ730" i="11"/>
  <c r="AY730" i="11"/>
  <c r="AX730" i="11"/>
  <c r="AU730" i="11"/>
  <c r="AT730" i="11"/>
  <c r="AS730" i="11"/>
  <c r="AR730" i="11"/>
  <c r="AQ730" i="11"/>
  <c r="AP730" i="11"/>
  <c r="AO730" i="11"/>
  <c r="AN730" i="11"/>
  <c r="AM730" i="11"/>
  <c r="AL730" i="11"/>
  <c r="AK730" i="11"/>
  <c r="AJ730" i="11"/>
  <c r="AI730" i="11"/>
  <c r="AH730" i="11"/>
  <c r="AG730" i="11"/>
  <c r="AF730" i="11"/>
  <c r="AE730" i="11"/>
  <c r="AD730" i="11"/>
  <c r="AC730" i="11"/>
  <c r="AB730" i="11"/>
  <c r="AA730" i="11"/>
  <c r="X730" i="11"/>
  <c r="W730" i="11"/>
  <c r="V730" i="11"/>
  <c r="U730" i="11"/>
  <c r="S730" i="11"/>
  <c r="R730" i="11"/>
  <c r="Q730" i="11"/>
  <c r="P730" i="11"/>
  <c r="O730" i="11"/>
  <c r="N730" i="11"/>
  <c r="M730" i="11"/>
  <c r="L730" i="11"/>
  <c r="K730" i="11"/>
  <c r="J730" i="11"/>
  <c r="I730" i="11"/>
  <c r="H730" i="11"/>
  <c r="F730" i="11"/>
  <c r="E730" i="11"/>
  <c r="D730" i="11"/>
  <c r="C730" i="11"/>
  <c r="B730" i="11"/>
  <c r="A730" i="11"/>
  <c r="BR726" i="11"/>
  <c r="BQ726" i="11"/>
  <c r="BP726" i="11"/>
  <c r="BO726" i="11"/>
  <c r="BN726" i="11"/>
  <c r="BM726" i="11"/>
  <c r="BL726" i="11"/>
  <c r="BK726" i="11"/>
  <c r="BJ726" i="11"/>
  <c r="BI726" i="11"/>
  <c r="BH726" i="11"/>
  <c r="BG726" i="11"/>
  <c r="BF726" i="11"/>
  <c r="BE726" i="11"/>
  <c r="BD726" i="11"/>
  <c r="BC726" i="11"/>
  <c r="BB726" i="11"/>
  <c r="BA726" i="11"/>
  <c r="AZ726" i="11"/>
  <c r="AY726" i="11"/>
  <c r="AX726" i="11"/>
  <c r="AW726" i="11"/>
  <c r="AV726" i="11"/>
  <c r="AU726" i="11"/>
  <c r="AT726" i="11"/>
  <c r="AS726" i="11"/>
  <c r="AR726" i="11"/>
  <c r="AQ726" i="11"/>
  <c r="AP726" i="11"/>
  <c r="AO726" i="11"/>
  <c r="AN726" i="11"/>
  <c r="AM726" i="11"/>
  <c r="AJ726" i="11"/>
  <c r="AI726" i="11"/>
  <c r="AH726" i="11"/>
  <c r="AE726" i="11"/>
  <c r="AD726" i="11"/>
  <c r="AC726" i="11"/>
  <c r="Z726" i="11"/>
  <c r="Y726" i="11"/>
  <c r="X726" i="11"/>
  <c r="W726" i="11"/>
  <c r="V726" i="11"/>
  <c r="U726" i="11"/>
  <c r="S726" i="11"/>
  <c r="R726" i="11"/>
  <c r="Q726" i="11"/>
  <c r="P726" i="11"/>
  <c r="O726" i="11"/>
  <c r="N726" i="11"/>
  <c r="M726" i="11"/>
  <c r="L726" i="11"/>
  <c r="K726" i="11"/>
  <c r="J726" i="11"/>
  <c r="I726" i="11"/>
  <c r="H726" i="11"/>
  <c r="G726" i="11"/>
  <c r="F726" i="11"/>
  <c r="E726" i="11"/>
  <c r="D726" i="11"/>
  <c r="C726" i="11"/>
  <c r="B726" i="11"/>
  <c r="A726" i="11"/>
  <c r="CB722" i="11"/>
  <c r="CA722" i="11"/>
  <c r="BZ722" i="11"/>
  <c r="BY722" i="11"/>
  <c r="BW722" i="11"/>
  <c r="BS722" i="11"/>
  <c r="BR722" i="11"/>
  <c r="BQ722" i="11"/>
  <c r="BP722" i="11"/>
  <c r="BO722" i="11"/>
  <c r="BN722" i="11"/>
  <c r="BM722" i="11"/>
  <c r="BL722" i="11"/>
  <c r="BK722" i="11"/>
  <c r="BJ722" i="11"/>
  <c r="BH722" i="11"/>
  <c r="BG722" i="11"/>
  <c r="BF722" i="11"/>
  <c r="BE722" i="11"/>
  <c r="BD722" i="11"/>
  <c r="BB722" i="11"/>
  <c r="BA722" i="11"/>
  <c r="AZ722" i="11"/>
  <c r="AY722" i="11"/>
  <c r="AX722" i="11"/>
  <c r="AW722" i="11"/>
  <c r="AV722" i="11"/>
  <c r="AR722" i="11"/>
  <c r="AP722" i="11"/>
  <c r="AO722" i="11"/>
  <c r="AN722" i="11"/>
  <c r="AM722" i="11"/>
  <c r="AL722" i="11"/>
  <c r="AK722" i="11"/>
  <c r="AJ722" i="11"/>
  <c r="AI722" i="11"/>
  <c r="AG722" i="11"/>
  <c r="AF722" i="11"/>
  <c r="AE722" i="11"/>
  <c r="AD722" i="11"/>
  <c r="AC722" i="11"/>
  <c r="AB722" i="11"/>
  <c r="AA722" i="11"/>
  <c r="Z722" i="11"/>
  <c r="Y722" i="11"/>
  <c r="X722" i="11"/>
  <c r="W722" i="11"/>
  <c r="V722" i="11"/>
  <c r="U722" i="11"/>
  <c r="T722" i="11"/>
  <c r="S722" i="11"/>
  <c r="R722" i="11"/>
  <c r="Q722" i="11"/>
  <c r="P722" i="11"/>
  <c r="O722" i="11"/>
  <c r="M722" i="11"/>
  <c r="I722" i="11"/>
  <c r="G722" i="11"/>
  <c r="F722" i="11"/>
  <c r="E722" i="11"/>
  <c r="D722" i="11"/>
  <c r="C722" i="11"/>
  <c r="B722" i="11"/>
  <c r="A722" i="11"/>
  <c r="C615" i="11"/>
  <c r="E550" i="11"/>
  <c r="D550" i="11"/>
  <c r="E546" i="11"/>
  <c r="D546" i="11"/>
  <c r="E545" i="11"/>
  <c r="D545" i="11"/>
  <c r="E544" i="11"/>
  <c r="D544" i="11"/>
  <c r="E540" i="11"/>
  <c r="D540" i="11"/>
  <c r="E539" i="11"/>
  <c r="D539" i="11"/>
  <c r="E538" i="11"/>
  <c r="D538" i="11"/>
  <c r="E537" i="11"/>
  <c r="D537" i="11"/>
  <c r="E536" i="11"/>
  <c r="D536" i="11"/>
  <c r="E535" i="11"/>
  <c r="D535" i="11"/>
  <c r="E534" i="11"/>
  <c r="D534" i="11"/>
  <c r="E533" i="11"/>
  <c r="D533" i="11"/>
  <c r="E532" i="11"/>
  <c r="D532" i="11"/>
  <c r="E531" i="11"/>
  <c r="D531" i="11"/>
  <c r="E530" i="11"/>
  <c r="D530" i="11"/>
  <c r="E529" i="11"/>
  <c r="D529" i="11"/>
  <c r="E528" i="11"/>
  <c r="D528" i="11"/>
  <c r="E527" i="11"/>
  <c r="D527" i="11"/>
  <c r="E526" i="11"/>
  <c r="D526" i="11"/>
  <c r="E525" i="11"/>
  <c r="D525" i="11"/>
  <c r="E524" i="11"/>
  <c r="D524" i="11"/>
  <c r="E523" i="11"/>
  <c r="D523" i="11"/>
  <c r="E522" i="11"/>
  <c r="D522" i="11"/>
  <c r="E520" i="11"/>
  <c r="D520" i="11"/>
  <c r="E519" i="11"/>
  <c r="D519" i="11"/>
  <c r="E518" i="11"/>
  <c r="D518" i="11"/>
  <c r="E517" i="11"/>
  <c r="D517" i="11"/>
  <c r="E516" i="11"/>
  <c r="D516" i="11"/>
  <c r="E515" i="11"/>
  <c r="D515" i="11"/>
  <c r="E514" i="11"/>
  <c r="D514" i="11"/>
  <c r="E511" i="11"/>
  <c r="D511" i="11"/>
  <c r="E510" i="11"/>
  <c r="D510" i="11"/>
  <c r="E509" i="11"/>
  <c r="D509" i="11"/>
  <c r="E508" i="11"/>
  <c r="D508" i="11"/>
  <c r="E507" i="11"/>
  <c r="D507" i="11"/>
  <c r="E506" i="11"/>
  <c r="D506" i="11"/>
  <c r="E505" i="11"/>
  <c r="D505" i="11"/>
  <c r="E504" i="11"/>
  <c r="D504" i="11"/>
  <c r="E503" i="11"/>
  <c r="D503" i="11"/>
  <c r="E502" i="11"/>
  <c r="D502" i="11"/>
  <c r="E501" i="11"/>
  <c r="D501" i="11"/>
  <c r="E500" i="11"/>
  <c r="D500" i="11"/>
  <c r="E499" i="11"/>
  <c r="D499" i="11"/>
  <c r="E498" i="11"/>
  <c r="D498" i="11"/>
  <c r="E497" i="11"/>
  <c r="D497" i="11"/>
  <c r="E496" i="11"/>
  <c r="D496" i="11"/>
  <c r="G493" i="11"/>
  <c r="F493" i="11"/>
  <c r="E493" i="11"/>
  <c r="D493" i="11"/>
  <c r="C493" i="11"/>
  <c r="B493" i="11"/>
  <c r="A493" i="11"/>
  <c r="B478" i="11"/>
  <c r="B475" i="11"/>
  <c r="C474" i="11"/>
  <c r="B474" i="11"/>
  <c r="B472" i="11"/>
  <c r="B471" i="11"/>
  <c r="B470" i="11"/>
  <c r="B469" i="11"/>
  <c r="B468" i="11"/>
  <c r="B463" i="11"/>
  <c r="C459" i="11"/>
  <c r="B459" i="11"/>
  <c r="B458" i="11"/>
  <c r="B455" i="11"/>
  <c r="B454" i="11"/>
  <c r="B453" i="11"/>
  <c r="C446" i="11"/>
  <c r="C445" i="11"/>
  <c r="C444" i="11"/>
  <c r="B439" i="11"/>
  <c r="C438" i="11"/>
  <c r="D437" i="11"/>
  <c r="B437" i="11"/>
  <c r="B435" i="11"/>
  <c r="B434" i="11"/>
  <c r="B433" i="11"/>
  <c r="B432" i="11"/>
  <c r="B431" i="11"/>
  <c r="B430" i="11"/>
  <c r="B429" i="11"/>
  <c r="B428" i="11"/>
  <c r="B427" i="11"/>
  <c r="D424" i="11"/>
  <c r="B424" i="11"/>
  <c r="B423" i="11"/>
  <c r="D421" i="11"/>
  <c r="B421" i="11"/>
  <c r="B420" i="11"/>
  <c r="D418" i="11"/>
  <c r="B418" i="11"/>
  <c r="B417" i="11"/>
  <c r="D415" i="11"/>
  <c r="B415" i="11"/>
  <c r="B414" i="11"/>
  <c r="A412" i="11"/>
  <c r="C392" i="11"/>
  <c r="CD730" i="11" s="1"/>
  <c r="D390" i="11"/>
  <c r="B441" i="11" s="1"/>
  <c r="C389" i="11"/>
  <c r="CC730" i="11" s="1"/>
  <c r="C387" i="11"/>
  <c r="B436" i="11" s="1"/>
  <c r="D372" i="11"/>
  <c r="C366" i="11"/>
  <c r="BN730" i="11" s="1"/>
  <c r="C364" i="11"/>
  <c r="BL730" i="11" s="1"/>
  <c r="D361" i="11"/>
  <c r="N817" i="11" s="1"/>
  <c r="C360" i="11"/>
  <c r="BK730" i="11" s="1"/>
  <c r="C332" i="11"/>
  <c r="BB730" i="11" s="1"/>
  <c r="D329" i="11"/>
  <c r="D328" i="11"/>
  <c r="D330" i="11" s="1"/>
  <c r="C324" i="11"/>
  <c r="AW730" i="11" s="1"/>
  <c r="C323" i="11"/>
  <c r="AV730" i="11" s="1"/>
  <c r="D319" i="11"/>
  <c r="D314" i="11"/>
  <c r="D339" i="11" s="1"/>
  <c r="C482" i="11" s="1"/>
  <c r="D290" i="11"/>
  <c r="C280" i="11"/>
  <c r="Z730" i="11" s="1"/>
  <c r="C279" i="11"/>
  <c r="Y730" i="11" s="1"/>
  <c r="C272" i="11"/>
  <c r="D265" i="11"/>
  <c r="D260" i="11"/>
  <c r="C255" i="11"/>
  <c r="G730" i="11" s="1"/>
  <c r="D240" i="11"/>
  <c r="B447" i="11" s="1"/>
  <c r="C238" i="11"/>
  <c r="CC722" i="11" s="1"/>
  <c r="D236" i="11"/>
  <c r="B446" i="11" s="1"/>
  <c r="C227" i="11"/>
  <c r="BX722" i="11" s="1"/>
  <c r="C225" i="11"/>
  <c r="BV722" i="11" s="1"/>
  <c r="C224" i="11"/>
  <c r="BU722" i="11" s="1"/>
  <c r="C223" i="11"/>
  <c r="BT722" i="11" s="1"/>
  <c r="D221" i="11"/>
  <c r="CD722" i="11" s="1"/>
  <c r="D217" i="11"/>
  <c r="B217" i="11"/>
  <c r="E216" i="11"/>
  <c r="E215" i="11"/>
  <c r="E214" i="11"/>
  <c r="E213" i="11"/>
  <c r="C213" i="11"/>
  <c r="BI722" i="11" s="1"/>
  <c r="E212" i="11"/>
  <c r="C211" i="11"/>
  <c r="E210" i="11"/>
  <c r="E209" i="11"/>
  <c r="D204" i="11"/>
  <c r="B204" i="11"/>
  <c r="C203" i="11"/>
  <c r="AQ722" i="11" s="1"/>
  <c r="E202" i="11"/>
  <c r="E201" i="11"/>
  <c r="E200" i="11"/>
  <c r="C473" i="11" s="1"/>
  <c r="C200" i="11"/>
  <c r="AH722" i="11" s="1"/>
  <c r="E199" i="11"/>
  <c r="C472" i="11" s="1"/>
  <c r="E198" i="11"/>
  <c r="C471" i="11" s="1"/>
  <c r="E197" i="11"/>
  <c r="C470" i="11" s="1"/>
  <c r="E196" i="11"/>
  <c r="C469" i="11" s="1"/>
  <c r="E195" i="11"/>
  <c r="C468" i="11" s="1"/>
  <c r="D190" i="11"/>
  <c r="D186" i="11"/>
  <c r="D436" i="11" s="1"/>
  <c r="C184" i="11"/>
  <c r="N722" i="11" s="1"/>
  <c r="C180" i="11"/>
  <c r="L722" i="11" s="1"/>
  <c r="C179" i="11"/>
  <c r="D177" i="11"/>
  <c r="D434" i="11" s="1"/>
  <c r="C176" i="11"/>
  <c r="J722" i="11" s="1"/>
  <c r="C171" i="11"/>
  <c r="H722" i="11" s="1"/>
  <c r="E154" i="11"/>
  <c r="E153" i="11"/>
  <c r="E152" i="11"/>
  <c r="E151" i="11"/>
  <c r="C421" i="11" s="1"/>
  <c r="E150" i="11"/>
  <c r="C420" i="11" s="1"/>
  <c r="E148" i="11"/>
  <c r="E147" i="11"/>
  <c r="E146" i="11"/>
  <c r="E145" i="11"/>
  <c r="C418" i="11" s="1"/>
  <c r="E144" i="11"/>
  <c r="C417" i="11" s="1"/>
  <c r="D142" i="11"/>
  <c r="AL726" i="11" s="1"/>
  <c r="C142" i="11"/>
  <c r="B142" i="11"/>
  <c r="AB726" i="11" s="1"/>
  <c r="D141" i="11"/>
  <c r="AK726" i="11" s="1"/>
  <c r="C141" i="11"/>
  <c r="AF726" i="11" s="1"/>
  <c r="B141" i="11"/>
  <c r="AA726" i="11" s="1"/>
  <c r="E140" i="11"/>
  <c r="E139" i="11"/>
  <c r="C415" i="11" s="1"/>
  <c r="E138" i="11"/>
  <c r="C414" i="11" s="1"/>
  <c r="E127" i="11"/>
  <c r="CE80" i="11"/>
  <c r="CF79" i="11"/>
  <c r="CE79" i="11"/>
  <c r="S816" i="11" s="1"/>
  <c r="AG78" i="11"/>
  <c r="R764" i="11" s="1"/>
  <c r="CE77" i="11"/>
  <c r="CF77" i="11" s="1"/>
  <c r="CA76" i="11"/>
  <c r="P810" i="11" s="1"/>
  <c r="BY76" i="11"/>
  <c r="P808" i="11" s="1"/>
  <c r="BK76" i="11"/>
  <c r="P794" i="11" s="1"/>
  <c r="BJ76" i="11"/>
  <c r="P793" i="11" s="1"/>
  <c r="BH76" i="11"/>
  <c r="P791" i="11" s="1"/>
  <c r="BF76" i="11"/>
  <c r="P789" i="11" s="1"/>
  <c r="BE76" i="11"/>
  <c r="P788" i="11" s="1"/>
  <c r="AY76" i="11"/>
  <c r="P782" i="11" s="1"/>
  <c r="AP76" i="11"/>
  <c r="P773" i="11" s="1"/>
  <c r="AV75" i="11"/>
  <c r="N779" i="11" s="1"/>
  <c r="AU75" i="11"/>
  <c r="N778" i="11" s="1"/>
  <c r="AT75" i="11"/>
  <c r="N777" i="11" s="1"/>
  <c r="AS75" i="11"/>
  <c r="N776" i="11" s="1"/>
  <c r="AR75" i="11"/>
  <c r="N775" i="11" s="1"/>
  <c r="AQ75" i="11"/>
  <c r="N774" i="11" s="1"/>
  <c r="AP75" i="11"/>
  <c r="N773" i="11" s="1"/>
  <c r="AO75" i="11"/>
  <c r="N772" i="11" s="1"/>
  <c r="AN75" i="11"/>
  <c r="N771" i="11" s="1"/>
  <c r="AM75" i="11"/>
  <c r="N770" i="11" s="1"/>
  <c r="AL75" i="11"/>
  <c r="N769" i="11" s="1"/>
  <c r="AK75" i="11"/>
  <c r="N768" i="11" s="1"/>
  <c r="AJ75" i="11"/>
  <c r="N767" i="11" s="1"/>
  <c r="AI75" i="11"/>
  <c r="N766" i="11" s="1"/>
  <c r="AH75" i="11"/>
  <c r="N765" i="11" s="1"/>
  <c r="AG75" i="11"/>
  <c r="N764" i="11" s="1"/>
  <c r="AF75" i="11"/>
  <c r="N763" i="11" s="1"/>
  <c r="AE75" i="11"/>
  <c r="N762" i="11" s="1"/>
  <c r="AD75" i="11"/>
  <c r="N761" i="11" s="1"/>
  <c r="AC75" i="11"/>
  <c r="N760" i="11" s="1"/>
  <c r="AA75" i="11"/>
  <c r="N758" i="11" s="1"/>
  <c r="Z75" i="11"/>
  <c r="N757" i="11" s="1"/>
  <c r="X75" i="11"/>
  <c r="N755" i="11" s="1"/>
  <c r="W75" i="11"/>
  <c r="N754" i="11" s="1"/>
  <c r="V75" i="11"/>
  <c r="N753" i="11" s="1"/>
  <c r="T75" i="11"/>
  <c r="N751" i="11" s="1"/>
  <c r="S75" i="11"/>
  <c r="N750" i="11" s="1"/>
  <c r="R75" i="11"/>
  <c r="N749" i="11" s="1"/>
  <c r="Q75" i="11"/>
  <c r="N748" i="11" s="1"/>
  <c r="P75" i="11"/>
  <c r="N747" i="11" s="1"/>
  <c r="O75" i="11"/>
  <c r="N746" i="11" s="1"/>
  <c r="N75" i="11"/>
  <c r="N745" i="11" s="1"/>
  <c r="M75" i="11"/>
  <c r="N744" i="11" s="1"/>
  <c r="L75" i="11"/>
  <c r="N743" i="11" s="1"/>
  <c r="K75" i="11"/>
  <c r="N742" i="11" s="1"/>
  <c r="J75" i="11"/>
  <c r="N741" i="11" s="1"/>
  <c r="I75" i="11"/>
  <c r="N740" i="11" s="1"/>
  <c r="H75" i="11"/>
  <c r="N739" i="11" s="1"/>
  <c r="G75" i="11"/>
  <c r="N738" i="11" s="1"/>
  <c r="F75" i="11"/>
  <c r="N737" i="11" s="1"/>
  <c r="E75" i="11"/>
  <c r="N736" i="11" s="1"/>
  <c r="D75" i="11"/>
  <c r="N735" i="11" s="1"/>
  <c r="C75" i="11"/>
  <c r="N734" i="11" s="1"/>
  <c r="Y74" i="11"/>
  <c r="U74" i="11"/>
  <c r="E74" i="11"/>
  <c r="AB73" i="11"/>
  <c r="Y73" i="11"/>
  <c r="O756" i="11" s="1"/>
  <c r="U73" i="11"/>
  <c r="O752" i="11" s="1"/>
  <c r="E73" i="11"/>
  <c r="O736" i="11" s="1"/>
  <c r="CD71" i="11"/>
  <c r="C575" i="11" s="1"/>
  <c r="AB70" i="11"/>
  <c r="M759" i="11" s="1"/>
  <c r="BK69" i="11"/>
  <c r="CE68" i="11"/>
  <c r="K816" i="11" s="1"/>
  <c r="BE66" i="11"/>
  <c r="I788" i="11" s="1"/>
  <c r="BE65" i="11"/>
  <c r="BE64" i="11"/>
  <c r="G788" i="11" s="1"/>
  <c r="AB64" i="11"/>
  <c r="U64" i="11"/>
  <c r="G752" i="11" s="1"/>
  <c r="S64" i="11"/>
  <c r="G750" i="11" s="1"/>
  <c r="CE63" i="11"/>
  <c r="F816" i="11" s="1"/>
  <c r="CE61" i="11"/>
  <c r="D816" i="11" s="1"/>
  <c r="CE60" i="11"/>
  <c r="B53" i="11"/>
  <c r="BE51" i="11"/>
  <c r="AC51" i="11"/>
  <c r="CE51" i="11" s="1"/>
  <c r="B49" i="11"/>
  <c r="CC48" i="11"/>
  <c r="CC62" i="11" s="1"/>
  <c r="CA48" i="11"/>
  <c r="CA62" i="11" s="1"/>
  <c r="BZ48" i="11"/>
  <c r="BZ62" i="11" s="1"/>
  <c r="BX48" i="11"/>
  <c r="BX62" i="11" s="1"/>
  <c r="BV48" i="11"/>
  <c r="BV62" i="11" s="1"/>
  <c r="BU48" i="11"/>
  <c r="BU62" i="11" s="1"/>
  <c r="BR48" i="11"/>
  <c r="BR62" i="11" s="1"/>
  <c r="BQ48" i="11"/>
  <c r="BQ62" i="11" s="1"/>
  <c r="BP48" i="11"/>
  <c r="BP62" i="11" s="1"/>
  <c r="BM48" i="11"/>
  <c r="BM62" i="11" s="1"/>
  <c r="BK48" i="11"/>
  <c r="BK62" i="11" s="1"/>
  <c r="BJ48" i="11"/>
  <c r="BJ62" i="11" s="1"/>
  <c r="BH48" i="11"/>
  <c r="BH62" i="11" s="1"/>
  <c r="BF48" i="11"/>
  <c r="BF62" i="11" s="1"/>
  <c r="BE48" i="11"/>
  <c r="BE62" i="11" s="1"/>
  <c r="BB48" i="11"/>
  <c r="BB62" i="11" s="1"/>
  <c r="BA48" i="11"/>
  <c r="BA62" i="11" s="1"/>
  <c r="AZ48" i="11"/>
  <c r="AZ62" i="11" s="1"/>
  <c r="AW48" i="11"/>
  <c r="AW62" i="11" s="1"/>
  <c r="AU48" i="11"/>
  <c r="AU62" i="11" s="1"/>
  <c r="AT48" i="11"/>
  <c r="AT62" i="11" s="1"/>
  <c r="AR48" i="11"/>
  <c r="AR62" i="11" s="1"/>
  <c r="AP48" i="11"/>
  <c r="AP62" i="11" s="1"/>
  <c r="AO48" i="11"/>
  <c r="AO62" i="11" s="1"/>
  <c r="AL48" i="11"/>
  <c r="AL62" i="11" s="1"/>
  <c r="AK48" i="11"/>
  <c r="AK62" i="11" s="1"/>
  <c r="AJ48" i="11"/>
  <c r="AJ62" i="11" s="1"/>
  <c r="AG48" i="11"/>
  <c r="AG62" i="11" s="1"/>
  <c r="AE48" i="11"/>
  <c r="AE62" i="11" s="1"/>
  <c r="AD48" i="11"/>
  <c r="AD62" i="11" s="1"/>
  <c r="AB48" i="11"/>
  <c r="AB62" i="11" s="1"/>
  <c r="E759" i="11" s="1"/>
  <c r="Z48" i="11"/>
  <c r="Z62" i="11" s="1"/>
  <c r="Y48" i="11"/>
  <c r="Y62" i="11" s="1"/>
  <c r="V48" i="11"/>
  <c r="V62" i="11" s="1"/>
  <c r="U48" i="11"/>
  <c r="U62" i="11" s="1"/>
  <c r="T48" i="11"/>
  <c r="T62" i="11" s="1"/>
  <c r="Q48" i="11"/>
  <c r="Q62" i="11" s="1"/>
  <c r="O48" i="11"/>
  <c r="O62" i="11" s="1"/>
  <c r="N48" i="11"/>
  <c r="N62" i="11" s="1"/>
  <c r="L48" i="11"/>
  <c r="L62" i="11" s="1"/>
  <c r="J48" i="11"/>
  <c r="J62" i="11" s="1"/>
  <c r="I48" i="11"/>
  <c r="I62" i="11" s="1"/>
  <c r="F48" i="11"/>
  <c r="F62" i="11" s="1"/>
  <c r="E48" i="11"/>
  <c r="E62" i="11" s="1"/>
  <c r="D48" i="11"/>
  <c r="D62" i="11" s="1"/>
  <c r="CE47" i="11"/>
  <c r="BC722" i="11" l="1"/>
  <c r="C217" i="11"/>
  <c r="D433" i="11" s="1"/>
  <c r="E211" i="11"/>
  <c r="U75" i="11"/>
  <c r="N752" i="11" s="1"/>
  <c r="H788" i="11"/>
  <c r="H815" i="11" s="1"/>
  <c r="CE65" i="11"/>
  <c r="H816" i="11" s="1"/>
  <c r="G48" i="11"/>
  <c r="G62" i="11" s="1"/>
  <c r="M48" i="11"/>
  <c r="M62" i="11" s="1"/>
  <c r="E744" i="11" s="1"/>
  <c r="R48" i="11"/>
  <c r="R62" i="11" s="1"/>
  <c r="E749" i="11" s="1"/>
  <c r="W48" i="11"/>
  <c r="W62" i="11" s="1"/>
  <c r="E754" i="11" s="1"/>
  <c r="AC48" i="11"/>
  <c r="AC62" i="11" s="1"/>
  <c r="AH48" i="11"/>
  <c r="AH62" i="11" s="1"/>
  <c r="AM48" i="11"/>
  <c r="AM62" i="11" s="1"/>
  <c r="AS48" i="11"/>
  <c r="AS62" i="11" s="1"/>
  <c r="AX48" i="11"/>
  <c r="AX62" i="11" s="1"/>
  <c r="E781" i="11" s="1"/>
  <c r="BC48" i="11"/>
  <c r="BC62" i="11" s="1"/>
  <c r="E786" i="11" s="1"/>
  <c r="BI48" i="11"/>
  <c r="BI62" i="11" s="1"/>
  <c r="E792" i="11" s="1"/>
  <c r="BN48" i="11"/>
  <c r="BN62" i="11" s="1"/>
  <c r="BS48" i="11"/>
  <c r="BS62" i="11" s="1"/>
  <c r="E802" i="11" s="1"/>
  <c r="BY48" i="11"/>
  <c r="BY62" i="11" s="1"/>
  <c r="E808" i="11" s="1"/>
  <c r="B464" i="11"/>
  <c r="CE74" i="11"/>
  <c r="C464" i="11" s="1"/>
  <c r="D367" i="11"/>
  <c r="C448" i="11" s="1"/>
  <c r="E770" i="11"/>
  <c r="E738" i="11"/>
  <c r="E762" i="11"/>
  <c r="E794" i="11"/>
  <c r="E753" i="11"/>
  <c r="E785" i="11"/>
  <c r="E746" i="11"/>
  <c r="E778" i="11"/>
  <c r="E745" i="11"/>
  <c r="E777" i="11"/>
  <c r="E809" i="11"/>
  <c r="E810" i="11"/>
  <c r="E775" i="11"/>
  <c r="E761" i="11"/>
  <c r="E765" i="11"/>
  <c r="E776" i="11"/>
  <c r="E797" i="11"/>
  <c r="G759" i="11"/>
  <c r="CE64" i="11"/>
  <c r="D229" i="11"/>
  <c r="E743" i="11"/>
  <c r="E756" i="11"/>
  <c r="E799" i="11"/>
  <c r="E769" i="11"/>
  <c r="E736" i="11"/>
  <c r="E757" i="11"/>
  <c r="E768" i="11"/>
  <c r="E789" i="11"/>
  <c r="E800" i="11"/>
  <c r="L794" i="11"/>
  <c r="C439" i="11"/>
  <c r="E741" i="11"/>
  <c r="E807" i="11"/>
  <c r="E788" i="11"/>
  <c r="E737" i="11"/>
  <c r="E801" i="11"/>
  <c r="E748" i="11"/>
  <c r="E780" i="11"/>
  <c r="E791" i="11"/>
  <c r="E812" i="11"/>
  <c r="CE69" i="11"/>
  <c r="E203" i="11"/>
  <c r="C475" i="11" s="1"/>
  <c r="E796" i="11"/>
  <c r="Q816" i="11"/>
  <c r="G612" i="11"/>
  <c r="T730" i="11"/>
  <c r="D275" i="11"/>
  <c r="B473" i="11"/>
  <c r="E735" i="11"/>
  <c r="E767" i="11"/>
  <c r="E760" i="11"/>
  <c r="K722" i="11"/>
  <c r="D181" i="11"/>
  <c r="E764" i="11"/>
  <c r="E793" i="11"/>
  <c r="E740" i="11"/>
  <c r="E751" i="11"/>
  <c r="E772" i="11"/>
  <c r="E783" i="11"/>
  <c r="E804" i="11"/>
  <c r="O759" i="11"/>
  <c r="O815" i="11" s="1"/>
  <c r="AB75" i="11"/>
  <c r="N759" i="11" s="1"/>
  <c r="AG726" i="11"/>
  <c r="E142" i="11"/>
  <c r="D464" i="11" s="1"/>
  <c r="E752" i="11"/>
  <c r="E773" i="11"/>
  <c r="E784" i="11"/>
  <c r="E805" i="11"/>
  <c r="CE73" i="11"/>
  <c r="E217" i="11"/>
  <c r="C478" i="11" s="1"/>
  <c r="H48" i="11"/>
  <c r="H62" i="11" s="1"/>
  <c r="P48" i="11"/>
  <c r="P62" i="11" s="1"/>
  <c r="X48" i="11"/>
  <c r="X62" i="11" s="1"/>
  <c r="AF48" i="11"/>
  <c r="AF62" i="11" s="1"/>
  <c r="AN48" i="11"/>
  <c r="AN62" i="11" s="1"/>
  <c r="AV48" i="11"/>
  <c r="AV62" i="11" s="1"/>
  <c r="BD48" i="11"/>
  <c r="BD62" i="11" s="1"/>
  <c r="BL48" i="11"/>
  <c r="BL62" i="11" s="1"/>
  <c r="BT48" i="11"/>
  <c r="BT62" i="11" s="1"/>
  <c r="CB48" i="11"/>
  <c r="CB62" i="11" s="1"/>
  <c r="C816" i="11"/>
  <c r="BI730" i="11"/>
  <c r="H612" i="11"/>
  <c r="CE70" i="11"/>
  <c r="CE78" i="11"/>
  <c r="C204" i="11"/>
  <c r="BZ730" i="11"/>
  <c r="L817" i="11"/>
  <c r="C429" i="11"/>
  <c r="B465" i="11"/>
  <c r="Y75" i="11"/>
  <c r="N756" i="11" s="1"/>
  <c r="N815" i="11" s="1"/>
  <c r="J612" i="11"/>
  <c r="C48" i="11"/>
  <c r="K48" i="11"/>
  <c r="K62" i="11" s="1"/>
  <c r="S48" i="11"/>
  <c r="S62" i="11" s="1"/>
  <c r="AA48" i="11"/>
  <c r="AA62" i="11" s="1"/>
  <c r="AI48" i="11"/>
  <c r="AI62" i="11" s="1"/>
  <c r="AQ48" i="11"/>
  <c r="AQ62" i="11" s="1"/>
  <c r="AY48" i="11"/>
  <c r="AY62" i="11" s="1"/>
  <c r="BG48" i="11"/>
  <c r="BG62" i="11" s="1"/>
  <c r="BO48" i="11"/>
  <c r="BO62" i="11" s="1"/>
  <c r="BW48" i="11"/>
  <c r="BW62" i="11" s="1"/>
  <c r="CE66" i="11"/>
  <c r="CE76" i="11"/>
  <c r="T816" i="11"/>
  <c r="L612" i="11"/>
  <c r="E141" i="11"/>
  <c r="D463" i="11" s="1"/>
  <c r="D465" i="11" s="1"/>
  <c r="D173" i="11"/>
  <c r="D428" i="11" s="1"/>
  <c r="D283" i="11"/>
  <c r="C427" i="11"/>
  <c r="C434" i="11"/>
  <c r="B438" i="11"/>
  <c r="B440" i="11" s="1"/>
  <c r="C447" i="11"/>
  <c r="C431" i="11"/>
  <c r="B444" i="11"/>
  <c r="F815" i="11"/>
  <c r="P815" i="11"/>
  <c r="G815" i="11"/>
  <c r="Q815" i="11"/>
  <c r="I815" i="11"/>
  <c r="R815" i="11"/>
  <c r="K815" i="11"/>
  <c r="S815" i="11"/>
  <c r="C815" i="11"/>
  <c r="L815" i="11"/>
  <c r="T815" i="11"/>
  <c r="D815" i="11"/>
  <c r="M815" i="11"/>
  <c r="E204" i="11" l="1"/>
  <c r="C476" i="11" s="1"/>
  <c r="D368" i="11"/>
  <c r="D373" i="11" s="1"/>
  <c r="D391" i="11" s="1"/>
  <c r="D393" i="11" s="1"/>
  <c r="D396" i="11" s="1"/>
  <c r="E790" i="11"/>
  <c r="R816" i="11"/>
  <c r="I612" i="11"/>
  <c r="E787" i="11"/>
  <c r="D435" i="11"/>
  <c r="D438" i="11"/>
  <c r="G816" i="11"/>
  <c r="F612" i="11"/>
  <c r="C430" i="11"/>
  <c r="E782" i="11"/>
  <c r="M816" i="11"/>
  <c r="C458" i="11"/>
  <c r="E779" i="11"/>
  <c r="E798" i="11"/>
  <c r="E774" i="11"/>
  <c r="E771" i="11"/>
  <c r="P816" i="11"/>
  <c r="D612" i="11"/>
  <c r="CF76" i="11"/>
  <c r="AF52" i="11" s="1"/>
  <c r="AF67" i="11" s="1"/>
  <c r="AV52" i="11"/>
  <c r="AV67" i="11" s="1"/>
  <c r="J779" i="11" s="1"/>
  <c r="BK52" i="11"/>
  <c r="BK67" i="11" s="1"/>
  <c r="BC52" i="11"/>
  <c r="BC67" i="11" s="1"/>
  <c r="BJ52" i="11"/>
  <c r="BJ67" i="11" s="1"/>
  <c r="AL52" i="11"/>
  <c r="AL67" i="11" s="1"/>
  <c r="BQ52" i="11"/>
  <c r="BQ67" i="11" s="1"/>
  <c r="AC52" i="11"/>
  <c r="AC67" i="11" s="1"/>
  <c r="AR52" i="11"/>
  <c r="AR67" i="11" s="1"/>
  <c r="AJ52" i="11"/>
  <c r="AJ67" i="11" s="1"/>
  <c r="BG52" i="11"/>
  <c r="BG67" i="11" s="1"/>
  <c r="J790" i="11" s="1"/>
  <c r="R52" i="11"/>
  <c r="R67" i="11" s="1"/>
  <c r="BE52" i="11"/>
  <c r="BE67" i="11" s="1"/>
  <c r="BV52" i="11"/>
  <c r="BV67" i="11" s="1"/>
  <c r="AW52" i="11"/>
  <c r="AW67" i="11" s="1"/>
  <c r="Z52" i="11"/>
  <c r="Z67" i="11" s="1"/>
  <c r="E766" i="11"/>
  <c r="E763" i="11"/>
  <c r="C62" i="11"/>
  <c r="CE48" i="11"/>
  <c r="D242" i="11"/>
  <c r="B448" i="11" s="1"/>
  <c r="B445" i="11"/>
  <c r="E758" i="11"/>
  <c r="E755" i="11"/>
  <c r="B476" i="11"/>
  <c r="D277" i="11"/>
  <c r="D292" i="11" s="1"/>
  <c r="D341" i="11" s="1"/>
  <c r="C481" i="11" s="1"/>
  <c r="I816" i="11"/>
  <c r="C432" i="11"/>
  <c r="E750" i="11"/>
  <c r="E811" i="11"/>
  <c r="E747" i="11"/>
  <c r="E795" i="11"/>
  <c r="E806" i="11"/>
  <c r="E742" i="11"/>
  <c r="CE75" i="11"/>
  <c r="E803" i="11"/>
  <c r="E739" i="11"/>
  <c r="O816" i="11"/>
  <c r="C463" i="11"/>
  <c r="L816" i="11"/>
  <c r="C440" i="11"/>
  <c r="J52" i="11" l="1"/>
  <c r="J67" i="11" s="1"/>
  <c r="J71" i="11" s="1"/>
  <c r="AQ52" i="11"/>
  <c r="AQ67" i="11" s="1"/>
  <c r="J774" i="11" s="1"/>
  <c r="S52" i="11"/>
  <c r="S67" i="11" s="1"/>
  <c r="J750" i="11" s="1"/>
  <c r="E52" i="11"/>
  <c r="E67" i="11" s="1"/>
  <c r="N52" i="11"/>
  <c r="N67" i="11" s="1"/>
  <c r="BR52" i="11"/>
  <c r="BR67" i="11" s="1"/>
  <c r="J801" i="11" s="1"/>
  <c r="X52" i="11"/>
  <c r="X67" i="11" s="1"/>
  <c r="J755" i="11" s="1"/>
  <c r="AY52" i="11"/>
  <c r="AY67" i="11" s="1"/>
  <c r="J782" i="11" s="1"/>
  <c r="BU52" i="11"/>
  <c r="BU67" i="11" s="1"/>
  <c r="T52" i="11"/>
  <c r="T67" i="11" s="1"/>
  <c r="T71" i="11" s="1"/>
  <c r="U52" i="11"/>
  <c r="U67" i="11" s="1"/>
  <c r="U71" i="11" s="1"/>
  <c r="AD52" i="11"/>
  <c r="AD67" i="11" s="1"/>
  <c r="AM52" i="11"/>
  <c r="AM67" i="11" s="1"/>
  <c r="AM71" i="11" s="1"/>
  <c r="AN52" i="11"/>
  <c r="AN67" i="11" s="1"/>
  <c r="J771" i="11" s="1"/>
  <c r="J763" i="11"/>
  <c r="AF71" i="11"/>
  <c r="J757" i="11"/>
  <c r="Z71" i="11"/>
  <c r="J767" i="11"/>
  <c r="AJ71" i="11"/>
  <c r="BR71" i="11"/>
  <c r="E734" i="11"/>
  <c r="E815" i="11" s="1"/>
  <c r="CE62" i="11"/>
  <c r="BO52" i="11"/>
  <c r="BO67" i="11" s="1"/>
  <c r="BN52" i="11"/>
  <c r="BN67" i="11" s="1"/>
  <c r="Q52" i="11"/>
  <c r="Q67" i="11" s="1"/>
  <c r="AP52" i="11"/>
  <c r="AP67" i="11" s="1"/>
  <c r="AZ52" i="11"/>
  <c r="AZ67" i="11" s="1"/>
  <c r="AK52" i="11"/>
  <c r="AK67" i="11" s="1"/>
  <c r="BB52" i="11"/>
  <c r="BB67" i="11" s="1"/>
  <c r="G52" i="11"/>
  <c r="G67" i="11" s="1"/>
  <c r="BS52" i="11"/>
  <c r="BS67" i="11" s="1"/>
  <c r="BD52" i="11"/>
  <c r="BD67" i="11" s="1"/>
  <c r="J752" i="11"/>
  <c r="J804" i="11"/>
  <c r="BU71" i="11"/>
  <c r="J794" i="11"/>
  <c r="BK71" i="11"/>
  <c r="Y52" i="11"/>
  <c r="Y67" i="11" s="1"/>
  <c r="I52" i="11"/>
  <c r="I67" i="11" s="1"/>
  <c r="AI52" i="11"/>
  <c r="AI67" i="11" s="1"/>
  <c r="BM52" i="11"/>
  <c r="BM67" i="11" s="1"/>
  <c r="BH52" i="11"/>
  <c r="BH67" i="11" s="1"/>
  <c r="AS52" i="11"/>
  <c r="AS67" i="11" s="1"/>
  <c r="BZ52" i="11"/>
  <c r="BZ67" i="11" s="1"/>
  <c r="O52" i="11"/>
  <c r="O67" i="11" s="1"/>
  <c r="CA52" i="11"/>
  <c r="CA67" i="11" s="1"/>
  <c r="BL52" i="11"/>
  <c r="BL67" i="11" s="1"/>
  <c r="J745" i="11"/>
  <c r="N71" i="11"/>
  <c r="J780" i="11"/>
  <c r="AW71" i="11"/>
  <c r="J760" i="11"/>
  <c r="AC71" i="11"/>
  <c r="J761" i="11"/>
  <c r="AD71" i="11"/>
  <c r="AA52" i="11"/>
  <c r="AA67" i="11" s="1"/>
  <c r="K52" i="11"/>
  <c r="K67" i="11" s="1"/>
  <c r="BF52" i="11"/>
  <c r="BF67" i="11" s="1"/>
  <c r="D52" i="11"/>
  <c r="D67" i="11" s="1"/>
  <c r="BP52" i="11"/>
  <c r="BP67" i="11" s="1"/>
  <c r="BA52" i="11"/>
  <c r="BA67" i="11" s="1"/>
  <c r="F52" i="11"/>
  <c r="F67" i="11" s="1"/>
  <c r="W52" i="11"/>
  <c r="W67" i="11" s="1"/>
  <c r="H52" i="11"/>
  <c r="H67" i="11" s="1"/>
  <c r="BT52" i="11"/>
  <c r="BT67" i="11" s="1"/>
  <c r="AY71" i="11"/>
  <c r="J786" i="11"/>
  <c r="BC71" i="11"/>
  <c r="J805" i="11"/>
  <c r="BV71" i="11"/>
  <c r="J775" i="11"/>
  <c r="AR71" i="11"/>
  <c r="N816" i="11"/>
  <c r="C465" i="11"/>
  <c r="K612" i="11"/>
  <c r="AX52" i="11"/>
  <c r="AX67" i="11" s="1"/>
  <c r="AH52" i="11"/>
  <c r="AH67" i="11" s="1"/>
  <c r="CC52" i="11"/>
  <c r="CC67" i="11" s="1"/>
  <c r="L52" i="11"/>
  <c r="L67" i="11" s="1"/>
  <c r="BX52" i="11"/>
  <c r="BX67" i="11" s="1"/>
  <c r="BI52" i="11"/>
  <c r="BI67" i="11" s="1"/>
  <c r="V52" i="11"/>
  <c r="V67" i="11" s="1"/>
  <c r="AE52" i="11"/>
  <c r="AE67" i="11" s="1"/>
  <c r="P52" i="11"/>
  <c r="P67" i="11" s="1"/>
  <c r="CB52" i="11"/>
  <c r="CB67" i="11" s="1"/>
  <c r="J788" i="11"/>
  <c r="BE71" i="11"/>
  <c r="J751" i="11"/>
  <c r="J769" i="11"/>
  <c r="AL71" i="11"/>
  <c r="J741" i="11"/>
  <c r="J749" i="11"/>
  <c r="R71" i="11"/>
  <c r="J736" i="11"/>
  <c r="E71" i="11"/>
  <c r="J800" i="11"/>
  <c r="BQ71" i="11"/>
  <c r="J770" i="11"/>
  <c r="C52" i="11"/>
  <c r="AG52" i="11"/>
  <c r="AG67" i="11" s="1"/>
  <c r="BW52" i="11"/>
  <c r="BW67" i="11" s="1"/>
  <c r="AO52" i="11"/>
  <c r="AO67" i="11" s="1"/>
  <c r="AB52" i="11"/>
  <c r="AB67" i="11" s="1"/>
  <c r="M52" i="11"/>
  <c r="M67" i="11" s="1"/>
  <c r="BY52" i="11"/>
  <c r="BY67" i="11" s="1"/>
  <c r="AT52" i="11"/>
  <c r="AT67" i="11" s="1"/>
  <c r="AU52" i="11"/>
  <c r="AU67" i="11" s="1"/>
  <c r="AV71" i="11"/>
  <c r="BG71" i="11"/>
  <c r="J793" i="11"/>
  <c r="BJ71" i="11"/>
  <c r="S71" i="11" l="1"/>
  <c r="C512" i="11" s="1"/>
  <c r="AN71" i="11"/>
  <c r="C533" i="11" s="1"/>
  <c r="G533" i="11" s="1"/>
  <c r="X71" i="11"/>
  <c r="C689" i="11" s="1"/>
  <c r="AQ71" i="11"/>
  <c r="J778" i="11"/>
  <c r="AU71" i="11"/>
  <c r="J754" i="11"/>
  <c r="W71" i="11"/>
  <c r="C679" i="11"/>
  <c r="C507" i="11"/>
  <c r="G507" i="11" s="1"/>
  <c r="C641" i="11"/>
  <c r="C566" i="11"/>
  <c r="J777" i="11"/>
  <c r="AT71" i="11"/>
  <c r="C675" i="11"/>
  <c r="C503" i="11"/>
  <c r="C642" i="11"/>
  <c r="C567" i="11"/>
  <c r="C705" i="11"/>
  <c r="J808" i="11"/>
  <c r="BY71" i="11"/>
  <c r="J747" i="11"/>
  <c r="P71" i="11"/>
  <c r="J781" i="11"/>
  <c r="AX71" i="11"/>
  <c r="J784" i="11"/>
  <c r="BA71" i="11"/>
  <c r="C695" i="11"/>
  <c r="C523" i="11"/>
  <c r="G523" i="11" s="1"/>
  <c r="C708" i="11"/>
  <c r="C536" i="11"/>
  <c r="G536" i="11" s="1"/>
  <c r="J766" i="11"/>
  <c r="AI71" i="11"/>
  <c r="C514" i="11"/>
  <c r="C686" i="11"/>
  <c r="J773" i="11"/>
  <c r="AP71" i="11"/>
  <c r="J812" i="11"/>
  <c r="CC71" i="11"/>
  <c r="J791" i="11"/>
  <c r="BH71" i="11"/>
  <c r="J811" i="11"/>
  <c r="CB71" i="11"/>
  <c r="J783" i="11"/>
  <c r="AZ71" i="11"/>
  <c r="J744" i="11"/>
  <c r="M71" i="11"/>
  <c r="C623" i="11"/>
  <c r="C562" i="11"/>
  <c r="C703" i="11"/>
  <c r="C531" i="11"/>
  <c r="G531" i="11" s="1"/>
  <c r="J762" i="11"/>
  <c r="AE71" i="11"/>
  <c r="C684" i="11"/>
  <c r="C633" i="11"/>
  <c r="C548" i="11"/>
  <c r="J799" i="11"/>
  <c r="BP71" i="11"/>
  <c r="J795" i="11"/>
  <c r="BL71" i="11"/>
  <c r="J740" i="11"/>
  <c r="I71" i="11"/>
  <c r="J748" i="11"/>
  <c r="Q71" i="11"/>
  <c r="C701" i="11"/>
  <c r="C529" i="11"/>
  <c r="G529" i="11" s="1"/>
  <c r="J765" i="11"/>
  <c r="AH71" i="11"/>
  <c r="J796" i="11"/>
  <c r="BM71" i="11"/>
  <c r="J735" i="11"/>
  <c r="D71" i="11"/>
  <c r="C694" i="11"/>
  <c r="C522" i="11"/>
  <c r="J810" i="11"/>
  <c r="CA71" i="11"/>
  <c r="J756" i="11"/>
  <c r="Y71" i="11"/>
  <c r="J787" i="11"/>
  <c r="BD71" i="11"/>
  <c r="J797" i="11"/>
  <c r="BN71" i="11"/>
  <c r="J768" i="11"/>
  <c r="AK71" i="11"/>
  <c r="C704" i="11"/>
  <c r="C532" i="11"/>
  <c r="G532" i="11" s="1"/>
  <c r="J737" i="11"/>
  <c r="F71" i="11"/>
  <c r="C626" i="11"/>
  <c r="C563" i="11"/>
  <c r="C555" i="11"/>
  <c r="C617" i="11"/>
  <c r="J759" i="11"/>
  <c r="AB71" i="11"/>
  <c r="J753" i="11"/>
  <c r="V71" i="11"/>
  <c r="J772" i="11"/>
  <c r="AO71" i="11"/>
  <c r="C670" i="11"/>
  <c r="C498" i="11"/>
  <c r="C685" i="11"/>
  <c r="C513" i="11"/>
  <c r="G513" i="11" s="1"/>
  <c r="J792" i="11"/>
  <c r="BI71" i="11"/>
  <c r="C625" i="11"/>
  <c r="C544" i="11"/>
  <c r="J789" i="11"/>
  <c r="BF71" i="11"/>
  <c r="J746" i="11"/>
  <c r="O71" i="11"/>
  <c r="J802" i="11"/>
  <c r="BS71" i="11"/>
  <c r="J798" i="11"/>
  <c r="BO71" i="11"/>
  <c r="C691" i="11"/>
  <c r="C519" i="11"/>
  <c r="G519" i="11" s="1"/>
  <c r="C67" i="11"/>
  <c r="CE52" i="11"/>
  <c r="C552" i="11"/>
  <c r="C618" i="11"/>
  <c r="J806" i="11"/>
  <c r="BW71" i="11"/>
  <c r="J807" i="11"/>
  <c r="BX71" i="11"/>
  <c r="J803" i="11"/>
  <c r="BT71" i="11"/>
  <c r="J742" i="11"/>
  <c r="K71" i="11"/>
  <c r="C631" i="11"/>
  <c r="C542" i="11"/>
  <c r="J809" i="11"/>
  <c r="BZ71" i="11"/>
  <c r="C635" i="11"/>
  <c r="C556" i="11"/>
  <c r="J738" i="11"/>
  <c r="G71" i="11"/>
  <c r="E816" i="11"/>
  <c r="C428" i="11"/>
  <c r="C541" i="11"/>
  <c r="C713" i="11"/>
  <c r="J764" i="11"/>
  <c r="AG71" i="11"/>
  <c r="C683" i="11"/>
  <c r="C511" i="11"/>
  <c r="C614" i="11"/>
  <c r="C550" i="11"/>
  <c r="J743" i="11"/>
  <c r="L71" i="11"/>
  <c r="C709" i="11"/>
  <c r="C537" i="11"/>
  <c r="G537" i="11" s="1"/>
  <c r="J739" i="11"/>
  <c r="H71" i="11"/>
  <c r="J758" i="11"/>
  <c r="AA71" i="11"/>
  <c r="J776" i="11"/>
  <c r="AS71" i="11"/>
  <c r="J785" i="11"/>
  <c r="BB71" i="11"/>
  <c r="C697" i="11"/>
  <c r="C525" i="11"/>
  <c r="G525" i="11" s="1"/>
  <c r="C517" i="11" l="1"/>
  <c r="G517" i="11" s="1"/>
  <c r="C673" i="11"/>
  <c r="C501" i="11"/>
  <c r="G501" i="11" s="1"/>
  <c r="C676" i="11"/>
  <c r="C504" i="11"/>
  <c r="G504" i="11" s="1"/>
  <c r="G544" i="11"/>
  <c r="G522" i="11"/>
  <c r="C632" i="11"/>
  <c r="C547" i="11"/>
  <c r="C526" i="11"/>
  <c r="C698" i="11"/>
  <c r="G514" i="11"/>
  <c r="G511" i="11"/>
  <c r="C639" i="11"/>
  <c r="C564" i="11"/>
  <c r="C619" i="11"/>
  <c r="C559" i="11"/>
  <c r="C561" i="11"/>
  <c r="C621" i="11"/>
  <c r="C630" i="11"/>
  <c r="C546" i="11"/>
  <c r="C640" i="11"/>
  <c r="C565" i="11"/>
  <c r="C634" i="11"/>
  <c r="C554" i="11"/>
  <c r="C687" i="11"/>
  <c r="C515" i="11"/>
  <c r="C671" i="11"/>
  <c r="C499" i="11"/>
  <c r="G499" i="11" s="1"/>
  <c r="C624" i="11"/>
  <c r="C549" i="11"/>
  <c r="C669" i="11"/>
  <c r="C497" i="11"/>
  <c r="G497" i="11" s="1"/>
  <c r="C510" i="11"/>
  <c r="C682" i="11"/>
  <c r="C636" i="11"/>
  <c r="C553" i="11"/>
  <c r="C700" i="11"/>
  <c r="C528" i="11"/>
  <c r="G528" i="11" s="1"/>
  <c r="C616" i="11"/>
  <c r="C543" i="11"/>
  <c r="C677" i="11"/>
  <c r="C505" i="11"/>
  <c r="J734" i="11"/>
  <c r="J815" i="11" s="1"/>
  <c r="CE67" i="11"/>
  <c r="C71" i="11"/>
  <c r="C672" i="11"/>
  <c r="C500" i="11"/>
  <c r="G500" i="11" s="1"/>
  <c r="C706" i="11"/>
  <c r="C534" i="11"/>
  <c r="G534" i="11" s="1"/>
  <c r="C573" i="11"/>
  <c r="C622" i="11"/>
  <c r="C710" i="11"/>
  <c r="C538" i="11"/>
  <c r="G538" i="11" s="1"/>
  <c r="C646" i="11"/>
  <c r="C571" i="11"/>
  <c r="C644" i="11"/>
  <c r="C569" i="11"/>
  <c r="C680" i="11"/>
  <c r="C508" i="11"/>
  <c r="C693" i="11"/>
  <c r="C521" i="11"/>
  <c r="C690" i="11"/>
  <c r="C518" i="11"/>
  <c r="C638" i="11"/>
  <c r="C558" i="11"/>
  <c r="C674" i="11"/>
  <c r="C502" i="11"/>
  <c r="G502" i="11" s="1"/>
  <c r="G512" i="11"/>
  <c r="C678" i="11"/>
  <c r="C506" i="11"/>
  <c r="G506" i="11" s="1"/>
  <c r="C620" i="11"/>
  <c r="C648" i="11" s="1"/>
  <c r="M716" i="11" s="1"/>
  <c r="Y816" i="11" s="1"/>
  <c r="C574" i="11"/>
  <c r="C681" i="11"/>
  <c r="C509" i="11"/>
  <c r="G503" i="11"/>
  <c r="C688" i="11"/>
  <c r="C516" i="11"/>
  <c r="G516" i="11" s="1"/>
  <c r="C692" i="11"/>
  <c r="C520" i="11"/>
  <c r="G520" i="11" s="1"/>
  <c r="G550" i="11"/>
  <c r="D615" i="11"/>
  <c r="C643" i="11"/>
  <c r="C568" i="11"/>
  <c r="C627" i="11"/>
  <c r="C560" i="11"/>
  <c r="C629" i="11"/>
  <c r="C551" i="11"/>
  <c r="G498" i="11"/>
  <c r="C702" i="11"/>
  <c r="C530" i="11"/>
  <c r="G530" i="11" s="1"/>
  <c r="C572" i="11"/>
  <c r="C647" i="11"/>
  <c r="C699" i="11"/>
  <c r="C527" i="11"/>
  <c r="G527" i="11" s="1"/>
  <c r="C637" i="11"/>
  <c r="C557" i="11"/>
  <c r="C696" i="11"/>
  <c r="C524" i="11"/>
  <c r="C545" i="11"/>
  <c r="G545" i="11" s="1"/>
  <c r="C628" i="11"/>
  <c r="C707" i="11"/>
  <c r="C535" i="11"/>
  <c r="C645" i="11"/>
  <c r="C570" i="11"/>
  <c r="C711" i="11"/>
  <c r="C539" i="11"/>
  <c r="G539" i="11" s="1"/>
  <c r="C712" i="11"/>
  <c r="C540" i="11"/>
  <c r="G540" i="11" s="1"/>
  <c r="G515" i="11" l="1"/>
  <c r="G510" i="11"/>
  <c r="G521" i="11"/>
  <c r="C668" i="11"/>
  <c r="C715" i="11" s="1"/>
  <c r="C496" i="11"/>
  <c r="G496" i="11" s="1"/>
  <c r="G535" i="11"/>
  <c r="D712" i="11"/>
  <c r="D704" i="11"/>
  <c r="D696" i="11"/>
  <c r="D688" i="11"/>
  <c r="D706" i="11"/>
  <c r="D698" i="11"/>
  <c r="D716" i="11"/>
  <c r="D707" i="11"/>
  <c r="D699" i="11"/>
  <c r="D691" i="11"/>
  <c r="D708" i="11"/>
  <c r="D701" i="11"/>
  <c r="D684" i="11"/>
  <c r="D709" i="11"/>
  <c r="D695" i="11"/>
  <c r="D694" i="11"/>
  <c r="D681" i="11"/>
  <c r="D673" i="11"/>
  <c r="D703" i="11"/>
  <c r="D702" i="11"/>
  <c r="D711" i="11"/>
  <c r="D710" i="11"/>
  <c r="D697" i="11"/>
  <c r="D686" i="11"/>
  <c r="D680" i="11"/>
  <c r="D672" i="11"/>
  <c r="D700" i="11"/>
  <c r="D687" i="11"/>
  <c r="D682" i="11"/>
  <c r="D641" i="11"/>
  <c r="D637" i="11"/>
  <c r="D633" i="11"/>
  <c r="D627" i="11"/>
  <c r="D683" i="11"/>
  <c r="D679" i="11"/>
  <c r="D678" i="11"/>
  <c r="D677" i="11"/>
  <c r="D646" i="11"/>
  <c r="D623" i="11"/>
  <c r="D619" i="11"/>
  <c r="D705" i="11"/>
  <c r="D692" i="11"/>
  <c r="D690" i="11"/>
  <c r="D676" i="11"/>
  <c r="D675" i="11"/>
  <c r="D674" i="11"/>
  <c r="D642" i="11"/>
  <c r="D638" i="11"/>
  <c r="D634" i="11"/>
  <c r="D630" i="11"/>
  <c r="D625" i="11"/>
  <c r="D685" i="11"/>
  <c r="D671" i="11"/>
  <c r="D670" i="11"/>
  <c r="D669" i="11"/>
  <c r="D647" i="11"/>
  <c r="D622" i="11"/>
  <c r="D618" i="11"/>
  <c r="D668" i="11"/>
  <c r="D643" i="11"/>
  <c r="D639" i="11"/>
  <c r="D635" i="11"/>
  <c r="D631" i="11"/>
  <c r="D628" i="11"/>
  <c r="D636" i="11"/>
  <c r="D629" i="11"/>
  <c r="D624" i="11"/>
  <c r="D632" i="11"/>
  <c r="D689" i="11"/>
  <c r="D621" i="11"/>
  <c r="D693" i="11"/>
  <c r="D645" i="11"/>
  <c r="D626" i="11"/>
  <c r="D620" i="11"/>
  <c r="D617" i="11"/>
  <c r="D616" i="11"/>
  <c r="D713" i="11"/>
  <c r="D644" i="11"/>
  <c r="D640" i="11"/>
  <c r="J816" i="11"/>
  <c r="C433" i="11"/>
  <c r="C441" i="11" s="1"/>
  <c r="CE71" i="11"/>
  <c r="C716" i="11" s="1"/>
  <c r="E612" i="11"/>
  <c r="G526" i="11"/>
  <c r="G524" i="11"/>
  <c r="G518" i="11"/>
  <c r="G509" i="11"/>
  <c r="G546" i="11"/>
  <c r="G508" i="11"/>
  <c r="G505" i="11"/>
  <c r="E623" i="11" l="1"/>
  <c r="E709" i="11"/>
  <c r="E701" i="11"/>
  <c r="E693" i="11"/>
  <c r="E685" i="11"/>
  <c r="E711" i="11"/>
  <c r="E703" i="11"/>
  <c r="E695" i="11"/>
  <c r="E712" i="11"/>
  <c r="E704" i="11"/>
  <c r="E696" i="11"/>
  <c r="E716" i="11"/>
  <c r="E694" i="11"/>
  <c r="E688" i="11"/>
  <c r="E702" i="11"/>
  <c r="E687" i="11"/>
  <c r="E678" i="11"/>
  <c r="E670" i="11"/>
  <c r="E647" i="11"/>
  <c r="E646" i="11"/>
  <c r="E645" i="11"/>
  <c r="E629" i="11"/>
  <c r="E710" i="11"/>
  <c r="E697" i="11"/>
  <c r="E705" i="11"/>
  <c r="E698" i="11"/>
  <c r="E677" i="11"/>
  <c r="E669" i="11"/>
  <c r="E627" i="11"/>
  <c r="E683" i="11"/>
  <c r="E681" i="11"/>
  <c r="E680" i="11"/>
  <c r="E679" i="11"/>
  <c r="E692" i="11"/>
  <c r="E690" i="11"/>
  <c r="E676" i="11"/>
  <c r="E675" i="11"/>
  <c r="E674" i="11"/>
  <c r="E642" i="11"/>
  <c r="E638" i="11"/>
  <c r="E634" i="11"/>
  <c r="E630" i="11"/>
  <c r="E625" i="11"/>
  <c r="E699" i="11"/>
  <c r="E684" i="11"/>
  <c r="E673" i="11"/>
  <c r="E672" i="11"/>
  <c r="E671" i="11"/>
  <c r="E708" i="11"/>
  <c r="E668" i="11"/>
  <c r="E643" i="11"/>
  <c r="E639" i="11"/>
  <c r="E635" i="11"/>
  <c r="E631" i="11"/>
  <c r="E628" i="11"/>
  <c r="E626" i="11"/>
  <c r="E632" i="11"/>
  <c r="E641" i="11"/>
  <c r="E689" i="11"/>
  <c r="E682" i="11"/>
  <c r="E700" i="11"/>
  <c r="E707" i="11"/>
  <c r="E713" i="11"/>
  <c r="E706" i="11"/>
  <c r="E644" i="11"/>
  <c r="E637" i="11"/>
  <c r="E636" i="11"/>
  <c r="E691" i="11"/>
  <c r="E633" i="11"/>
  <c r="E686" i="11"/>
  <c r="E640" i="11"/>
  <c r="E624" i="11"/>
  <c r="F624" i="11" s="1"/>
  <c r="D715" i="11"/>
  <c r="E715" i="11" l="1"/>
  <c r="F706" i="11"/>
  <c r="F698" i="11"/>
  <c r="F690" i="11"/>
  <c r="F708" i="11"/>
  <c r="F700" i="11"/>
  <c r="F692" i="11"/>
  <c r="F709" i="11"/>
  <c r="F701" i="11"/>
  <c r="F693" i="11"/>
  <c r="F702" i="11"/>
  <c r="F695" i="11"/>
  <c r="F687" i="11"/>
  <c r="F710" i="11"/>
  <c r="F703" i="11"/>
  <c r="F683" i="11"/>
  <c r="F67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711" i="11"/>
  <c r="F705" i="11"/>
  <c r="F704" i="11"/>
  <c r="F713" i="11"/>
  <c r="F712" i="11"/>
  <c r="F685" i="11"/>
  <c r="F682" i="11"/>
  <c r="F674" i="11"/>
  <c r="F697" i="11"/>
  <c r="F678" i="11"/>
  <c r="F677" i="11"/>
  <c r="F676" i="11"/>
  <c r="F646" i="11"/>
  <c r="F625" i="11"/>
  <c r="F716" i="11"/>
  <c r="F699" i="11"/>
  <c r="F684" i="11"/>
  <c r="F673" i="11"/>
  <c r="F672" i="11"/>
  <c r="F671" i="11"/>
  <c r="F670" i="11"/>
  <c r="F669" i="11"/>
  <c r="F668" i="11"/>
  <c r="F647" i="11"/>
  <c r="F628" i="11"/>
  <c r="F694" i="11"/>
  <c r="F688" i="11"/>
  <c r="F626" i="11"/>
  <c r="F696" i="11"/>
  <c r="F686" i="11"/>
  <c r="F689" i="11"/>
  <c r="F679" i="11"/>
  <c r="F707" i="11"/>
  <c r="F645" i="11"/>
  <c r="F627" i="11"/>
  <c r="F681" i="11"/>
  <c r="F691" i="11"/>
  <c r="F680" i="11"/>
  <c r="F629" i="11"/>
  <c r="F715" i="11" l="1"/>
  <c r="G625" i="11"/>
  <c r="G711" i="11" l="1"/>
  <c r="G703" i="11"/>
  <c r="G695" i="11"/>
  <c r="G687" i="11"/>
  <c r="G713" i="11"/>
  <c r="G705" i="11"/>
  <c r="G697" i="11"/>
  <c r="G706" i="11"/>
  <c r="G698" i="11"/>
  <c r="G690" i="11"/>
  <c r="G710" i="11"/>
  <c r="G709" i="11"/>
  <c r="G683" i="11"/>
  <c r="G696" i="11"/>
  <c r="G686" i="11"/>
  <c r="G680" i="11"/>
  <c r="G672" i="11"/>
  <c r="G704" i="11"/>
  <c r="G712" i="11"/>
  <c r="G699" i="11"/>
  <c r="G692" i="11"/>
  <c r="G691" i="11"/>
  <c r="G689" i="11"/>
  <c r="G679" i="11"/>
  <c r="G671" i="11"/>
  <c r="G716" i="11"/>
  <c r="G684" i="11"/>
  <c r="G675" i="11"/>
  <c r="G674" i="11"/>
  <c r="G673" i="11"/>
  <c r="G642" i="11"/>
  <c r="G638" i="11"/>
  <c r="G634" i="11"/>
  <c r="G630" i="11"/>
  <c r="G670" i="11"/>
  <c r="G669" i="11"/>
  <c r="G668" i="11"/>
  <c r="G647" i="11"/>
  <c r="G628" i="11"/>
  <c r="H628" i="11" s="1"/>
  <c r="G708" i="11"/>
  <c r="G702" i="11"/>
  <c r="G694" i="11"/>
  <c r="G688" i="11"/>
  <c r="G685" i="11"/>
  <c r="G643" i="11"/>
  <c r="G639" i="11"/>
  <c r="G635" i="11"/>
  <c r="G631" i="11"/>
  <c r="G626" i="11"/>
  <c r="G707" i="11"/>
  <c r="G644" i="11"/>
  <c r="G640" i="11"/>
  <c r="G636" i="11"/>
  <c r="G632" i="11"/>
  <c r="G682" i="11"/>
  <c r="G677" i="11"/>
  <c r="G701" i="11"/>
  <c r="G646" i="11"/>
  <c r="G700" i="11"/>
  <c r="G645" i="11"/>
  <c r="G627" i="11"/>
  <c r="G693" i="11"/>
  <c r="G681" i="11"/>
  <c r="G676" i="11"/>
  <c r="G641" i="11"/>
  <c r="G678" i="11"/>
  <c r="G637" i="11"/>
  <c r="G633" i="11"/>
  <c r="G629" i="11"/>
  <c r="H708" i="11" l="1"/>
  <c r="H700" i="11"/>
  <c r="H692" i="11"/>
  <c r="H710" i="11"/>
  <c r="H702" i="11"/>
  <c r="H694" i="11"/>
  <c r="H711" i="11"/>
  <c r="H703" i="11"/>
  <c r="H695" i="11"/>
  <c r="H696" i="11"/>
  <c r="H686" i="11"/>
  <c r="H704" i="11"/>
  <c r="H697" i="11"/>
  <c r="H677" i="11"/>
  <c r="H669" i="11"/>
  <c r="H712" i="11"/>
  <c r="H705" i="11"/>
  <c r="H713" i="11"/>
  <c r="H699" i="11"/>
  <c r="H698" i="11"/>
  <c r="H691" i="11"/>
  <c r="H689" i="11"/>
  <c r="H707" i="11"/>
  <c r="H706" i="11"/>
  <c r="H690" i="11"/>
  <c r="H684" i="11"/>
  <c r="H676" i="11"/>
  <c r="H668" i="11"/>
  <c r="H709" i="11"/>
  <c r="H672" i="11"/>
  <c r="H671" i="11"/>
  <c r="H670" i="11"/>
  <c r="H647" i="11"/>
  <c r="H688" i="11"/>
  <c r="H685" i="11"/>
  <c r="H643" i="11"/>
  <c r="H639" i="11"/>
  <c r="H635" i="11"/>
  <c r="H631" i="11"/>
  <c r="H644" i="11"/>
  <c r="H640" i="11"/>
  <c r="H636" i="11"/>
  <c r="H632" i="11"/>
  <c r="H701" i="11"/>
  <c r="H645" i="11"/>
  <c r="H629" i="11"/>
  <c r="H646" i="11"/>
  <c r="H687" i="11"/>
  <c r="H679" i="11"/>
  <c r="H674" i="11"/>
  <c r="H693" i="11"/>
  <c r="H681" i="11"/>
  <c r="H642" i="11"/>
  <c r="H633" i="11"/>
  <c r="H641" i="11"/>
  <c r="H638" i="11"/>
  <c r="H716" i="11"/>
  <c r="H678" i="11"/>
  <c r="H673" i="11"/>
  <c r="H637" i="11"/>
  <c r="H634" i="11"/>
  <c r="H630" i="11"/>
  <c r="H680" i="11"/>
  <c r="H675" i="11"/>
  <c r="H683" i="11"/>
  <c r="H682" i="11"/>
  <c r="G715" i="11"/>
  <c r="H715" i="11" l="1"/>
  <c r="I629" i="11"/>
  <c r="I713" i="11" l="1"/>
  <c r="I705" i="11"/>
  <c r="I697" i="11"/>
  <c r="I689" i="11"/>
  <c r="I716" i="11"/>
  <c r="I707" i="11"/>
  <c r="I699" i="11"/>
  <c r="I708" i="11"/>
  <c r="I700" i="11"/>
  <c r="I692" i="11"/>
  <c r="I704" i="11"/>
  <c r="I703" i="11"/>
  <c r="I712" i="11"/>
  <c r="I711" i="11"/>
  <c r="I685" i="11"/>
  <c r="I682" i="11"/>
  <c r="I674" i="11"/>
  <c r="I706" i="11"/>
  <c r="I690" i="11"/>
  <c r="I693" i="11"/>
  <c r="I688" i="11"/>
  <c r="I681" i="11"/>
  <c r="I673" i="11"/>
  <c r="I669" i="11"/>
  <c r="I668" i="11"/>
  <c r="I643" i="11"/>
  <c r="I639" i="11"/>
  <c r="I635" i="11"/>
  <c r="I631" i="11"/>
  <c r="I702" i="11"/>
  <c r="I694" i="11"/>
  <c r="I644" i="11"/>
  <c r="I640" i="11"/>
  <c r="I636" i="11"/>
  <c r="I632" i="11"/>
  <c r="I701" i="11"/>
  <c r="I696" i="11"/>
  <c r="I686" i="11"/>
  <c r="I645" i="11"/>
  <c r="I698" i="11"/>
  <c r="I691" i="11"/>
  <c r="I641" i="11"/>
  <c r="I637" i="11"/>
  <c r="I633" i="11"/>
  <c r="I710" i="11"/>
  <c r="I679" i="11"/>
  <c r="I695" i="11"/>
  <c r="I642" i="11"/>
  <c r="I709" i="11"/>
  <c r="I676" i="11"/>
  <c r="I671" i="11"/>
  <c r="I638" i="11"/>
  <c r="I684" i="11"/>
  <c r="I678" i="11"/>
  <c r="I634" i="11"/>
  <c r="I687" i="11"/>
  <c r="I630" i="11"/>
  <c r="I683" i="11"/>
  <c r="I680" i="11"/>
  <c r="I675" i="11"/>
  <c r="I670" i="11"/>
  <c r="I647" i="11"/>
  <c r="I677" i="11"/>
  <c r="I646" i="11"/>
  <c r="I672" i="11"/>
  <c r="I715" i="11" l="1"/>
  <c r="J630" i="11"/>
  <c r="J710" i="11" l="1"/>
  <c r="J702" i="11"/>
  <c r="J694" i="11"/>
  <c r="J686" i="11"/>
  <c r="J712" i="11"/>
  <c r="J704" i="11"/>
  <c r="J696" i="11"/>
  <c r="J713" i="11"/>
  <c r="J705" i="11"/>
  <c r="J697" i="11"/>
  <c r="J689" i="11"/>
  <c r="J711" i="11"/>
  <c r="J685" i="11"/>
  <c r="J682" i="11"/>
  <c r="J698" i="11"/>
  <c r="J691" i="11"/>
  <c r="J679" i="11"/>
  <c r="J671" i="11"/>
  <c r="J706" i="11"/>
  <c r="J699" i="11"/>
  <c r="J707" i="11"/>
  <c r="J693" i="11"/>
  <c r="J692" i="11"/>
  <c r="J688" i="11"/>
  <c r="J716" i="11"/>
  <c r="J701" i="11"/>
  <c r="J700" i="11"/>
  <c r="J678" i="11"/>
  <c r="J670" i="11"/>
  <c r="J647" i="11"/>
  <c r="J646" i="11"/>
  <c r="J645" i="11"/>
  <c r="J690" i="11"/>
  <c r="J708" i="11"/>
  <c r="J644" i="11"/>
  <c r="J640" i="11"/>
  <c r="J636" i="11"/>
  <c r="J632" i="11"/>
  <c r="J641" i="11"/>
  <c r="J637" i="11"/>
  <c r="J633" i="11"/>
  <c r="J681" i="11"/>
  <c r="J680" i="11"/>
  <c r="J703" i="11"/>
  <c r="J695" i="11"/>
  <c r="J674" i="11"/>
  <c r="J669" i="11"/>
  <c r="J642" i="11"/>
  <c r="J639" i="11"/>
  <c r="J709" i="11"/>
  <c r="J676" i="11"/>
  <c r="J638" i="11"/>
  <c r="J635" i="11"/>
  <c r="J684" i="11"/>
  <c r="J634" i="11"/>
  <c r="J631" i="11"/>
  <c r="J687" i="11"/>
  <c r="J673" i="11"/>
  <c r="J668" i="11"/>
  <c r="J683" i="11"/>
  <c r="J675" i="11"/>
  <c r="J677" i="11"/>
  <c r="J643" i="11"/>
  <c r="J672" i="11"/>
  <c r="J715" i="11" l="1"/>
  <c r="L647" i="11"/>
  <c r="K644" i="11"/>
  <c r="K716" i="11" l="1"/>
  <c r="K707" i="11"/>
  <c r="K699" i="11"/>
  <c r="K691" i="11"/>
  <c r="K709" i="11"/>
  <c r="K701" i="11"/>
  <c r="K693" i="11"/>
  <c r="K710" i="11"/>
  <c r="K702" i="11"/>
  <c r="K694" i="11"/>
  <c r="K712" i="11"/>
  <c r="K698" i="11"/>
  <c r="K697" i="11"/>
  <c r="K706" i="11"/>
  <c r="K705" i="11"/>
  <c r="K690" i="11"/>
  <c r="K684" i="11"/>
  <c r="K676" i="11"/>
  <c r="K668" i="11"/>
  <c r="K713" i="11"/>
  <c r="K700" i="11"/>
  <c r="K708" i="11"/>
  <c r="K687" i="11"/>
  <c r="K683" i="11"/>
  <c r="K675" i="11"/>
  <c r="K692" i="11"/>
  <c r="K688" i="11"/>
  <c r="K685" i="11"/>
  <c r="K711" i="11"/>
  <c r="K696" i="11"/>
  <c r="K686" i="11"/>
  <c r="K681" i="11"/>
  <c r="K680" i="11"/>
  <c r="K704" i="11"/>
  <c r="K689" i="11"/>
  <c r="K682" i="11"/>
  <c r="K679" i="11"/>
  <c r="K678" i="11"/>
  <c r="K677" i="11"/>
  <c r="K671" i="11"/>
  <c r="K673" i="11"/>
  <c r="K670" i="11"/>
  <c r="K672" i="11"/>
  <c r="K695" i="11"/>
  <c r="K669" i="11"/>
  <c r="K674" i="11"/>
  <c r="K703" i="11"/>
  <c r="L712" i="11"/>
  <c r="L704" i="11"/>
  <c r="L696" i="11"/>
  <c r="L688" i="11"/>
  <c r="M688" i="11" s="1"/>
  <c r="Y754" i="11" s="1"/>
  <c r="L706" i="11"/>
  <c r="L698" i="11"/>
  <c r="M698" i="11" s="1"/>
  <c r="Y764" i="11" s="1"/>
  <c r="L716" i="11"/>
  <c r="L707" i="11"/>
  <c r="M707" i="11" s="1"/>
  <c r="Y773" i="11" s="1"/>
  <c r="L699" i="11"/>
  <c r="L691" i="11"/>
  <c r="M691" i="11" s="1"/>
  <c r="Y757" i="11" s="1"/>
  <c r="L705" i="11"/>
  <c r="L690" i="11"/>
  <c r="L684" i="11"/>
  <c r="L713" i="11"/>
  <c r="M713" i="11" s="1"/>
  <c r="Y779" i="11" s="1"/>
  <c r="L692" i="11"/>
  <c r="M692" i="11" s="1"/>
  <c r="Y758" i="11" s="1"/>
  <c r="L689" i="11"/>
  <c r="M689" i="11" s="1"/>
  <c r="Y755" i="11" s="1"/>
  <c r="L681" i="11"/>
  <c r="M681" i="11" s="1"/>
  <c r="Y747" i="11" s="1"/>
  <c r="L673" i="11"/>
  <c r="M673" i="11" s="1"/>
  <c r="Y739" i="11" s="1"/>
  <c r="L700" i="11"/>
  <c r="M700" i="11" s="1"/>
  <c r="Y766" i="11" s="1"/>
  <c r="L708" i="11"/>
  <c r="M708" i="11" s="1"/>
  <c r="Y774" i="11" s="1"/>
  <c r="L701" i="11"/>
  <c r="L687" i="11"/>
  <c r="L709" i="11"/>
  <c r="M709" i="11" s="1"/>
  <c r="Y775" i="11" s="1"/>
  <c r="L695" i="11"/>
  <c r="M695" i="11" s="1"/>
  <c r="Y761" i="11" s="1"/>
  <c r="L694" i="11"/>
  <c r="L680" i="11"/>
  <c r="M680" i="11" s="1"/>
  <c r="Y746" i="11" s="1"/>
  <c r="L672" i="11"/>
  <c r="L702" i="11"/>
  <c r="M702" i="11" s="1"/>
  <c r="Y768" i="11" s="1"/>
  <c r="L711" i="11"/>
  <c r="L686" i="11"/>
  <c r="L682" i="11"/>
  <c r="M682" i="11" s="1"/>
  <c r="Y748" i="11" s="1"/>
  <c r="L679" i="11"/>
  <c r="M679" i="11" s="1"/>
  <c r="Y745" i="11" s="1"/>
  <c r="L678" i="11"/>
  <c r="L677" i="11"/>
  <c r="L710" i="11"/>
  <c r="L693" i="11"/>
  <c r="M693" i="11" s="1"/>
  <c r="Y759" i="11" s="1"/>
  <c r="L683" i="11"/>
  <c r="L676" i="11"/>
  <c r="L675" i="11"/>
  <c r="M675" i="11" s="1"/>
  <c r="Y741" i="11" s="1"/>
  <c r="L674" i="11"/>
  <c r="M674" i="11" s="1"/>
  <c r="Y740" i="11" s="1"/>
  <c r="L685" i="11"/>
  <c r="M685" i="11" s="1"/>
  <c r="Y751" i="11" s="1"/>
  <c r="L671" i="11"/>
  <c r="L668" i="11"/>
  <c r="L670" i="11"/>
  <c r="M670" i="11" s="1"/>
  <c r="Y736" i="11" s="1"/>
  <c r="L697" i="11"/>
  <c r="L669" i="11"/>
  <c r="M669" i="11" s="1"/>
  <c r="Y735" i="11" s="1"/>
  <c r="L703" i="11"/>
  <c r="M703" i="11" l="1"/>
  <c r="Y769" i="11" s="1"/>
  <c r="M705" i="11"/>
  <c r="Y771" i="11" s="1"/>
  <c r="M676" i="11"/>
  <c r="Y742" i="11" s="1"/>
  <c r="M677" i="11"/>
  <c r="Y743" i="11" s="1"/>
  <c r="M686" i="11"/>
  <c r="Y752" i="11" s="1"/>
  <c r="M687" i="11"/>
  <c r="Y753" i="11" s="1"/>
  <c r="M704" i="11"/>
  <c r="Y770" i="11" s="1"/>
  <c r="M697" i="11"/>
  <c r="Y763" i="11" s="1"/>
  <c r="M678" i="11"/>
  <c r="Y744" i="11" s="1"/>
  <c r="M711" i="11"/>
  <c r="Y777" i="11" s="1"/>
  <c r="M694" i="11"/>
  <c r="Y760" i="11" s="1"/>
  <c r="M701" i="11"/>
  <c r="Y767" i="11" s="1"/>
  <c r="M684" i="11"/>
  <c r="Y750" i="11" s="1"/>
  <c r="M699" i="11"/>
  <c r="Y765" i="11" s="1"/>
  <c r="M706" i="11"/>
  <c r="Y772" i="11" s="1"/>
  <c r="M712" i="11"/>
  <c r="Y778" i="11" s="1"/>
  <c r="M672" i="11"/>
  <c r="Y738" i="11" s="1"/>
  <c r="M683" i="11"/>
  <c r="Y749" i="11" s="1"/>
  <c r="M690" i="11"/>
  <c r="Y756" i="11" s="1"/>
  <c r="K715" i="11"/>
  <c r="L715" i="11"/>
  <c r="M668" i="11"/>
  <c r="M710" i="11"/>
  <c r="Y776" i="11" s="1"/>
  <c r="M696" i="11"/>
  <c r="Y762" i="11" s="1"/>
  <c r="M671" i="11"/>
  <c r="Y737" i="11" s="1"/>
  <c r="Y734" i="11" l="1"/>
  <c r="Y815" i="11" s="1"/>
  <c r="M715" i="11"/>
  <c r="CA76" i="1" l="1"/>
  <c r="BF76" i="1"/>
  <c r="BK76" i="1"/>
  <c r="BJ76" i="1"/>
  <c r="BH76" i="1"/>
  <c r="O817" i="10" l="1"/>
  <c r="M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V813" i="10"/>
  <c r="V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M788" i="10"/>
  <c r="L788" i="10"/>
  <c r="K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K752" i="10"/>
  <c r="I752" i="10"/>
  <c r="H752" i="10"/>
  <c r="F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Q736" i="10"/>
  <c r="M736" i="10"/>
  <c r="H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C815" i="10" s="1"/>
  <c r="B734" i="10"/>
  <c r="A734" i="10"/>
  <c r="CF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I730" i="10"/>
  <c r="BF730" i="10"/>
  <c r="BE730" i="10"/>
  <c r="BB730" i="10"/>
  <c r="BA730" i="10"/>
  <c r="AZ730" i="10"/>
  <c r="AY730" i="10"/>
  <c r="AX730" i="10"/>
  <c r="AU730" i="10"/>
  <c r="AT730" i="10"/>
  <c r="AS730" i="10"/>
  <c r="AR730" i="10"/>
  <c r="AQ730" i="10"/>
  <c r="AO730" i="10"/>
  <c r="AN730" i="10"/>
  <c r="AM730" i="10"/>
  <c r="AL730" i="10"/>
  <c r="AK730" i="10"/>
  <c r="AJ730" i="10"/>
  <c r="AH730" i="10"/>
  <c r="AG730" i="10"/>
  <c r="AF730" i="10"/>
  <c r="AE730" i="10"/>
  <c r="AD730" i="10"/>
  <c r="AC730" i="10"/>
  <c r="AB730" i="10"/>
  <c r="AA730" i="10"/>
  <c r="Z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K730" i="10"/>
  <c r="J730" i="10"/>
  <c r="I730" i="10"/>
  <c r="H730" i="10"/>
  <c r="F730" i="10"/>
  <c r="E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K726" i="10"/>
  <c r="AI726" i="10"/>
  <c r="AH726" i="10"/>
  <c r="AG726" i="10"/>
  <c r="AF726" i="10"/>
  <c r="AD726" i="10"/>
  <c r="AC726" i="10"/>
  <c r="AB726" i="10"/>
  <c r="AA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E550" i="10"/>
  <c r="E546" i="10"/>
  <c r="F546" i="10"/>
  <c r="E545" i="10"/>
  <c r="E544" i="10"/>
  <c r="F544" i="10"/>
  <c r="F540" i="10"/>
  <c r="E540" i="10"/>
  <c r="H540" i="10"/>
  <c r="E539" i="10"/>
  <c r="H538" i="10"/>
  <c r="E538" i="10"/>
  <c r="F538" i="10"/>
  <c r="H537" i="10"/>
  <c r="E537" i="10"/>
  <c r="F537" i="10"/>
  <c r="E536" i="10"/>
  <c r="H536" i="10"/>
  <c r="E535" i="10"/>
  <c r="H534" i="10"/>
  <c r="E534" i="10"/>
  <c r="F534" i="10"/>
  <c r="E533" i="10"/>
  <c r="H533" i="10"/>
  <c r="F532" i="10"/>
  <c r="E532" i="10"/>
  <c r="H532" i="10"/>
  <c r="H531" i="10"/>
  <c r="F531" i="10"/>
  <c r="E531" i="10"/>
  <c r="H530" i="10"/>
  <c r="E530" i="10"/>
  <c r="F530" i="10"/>
  <c r="E529" i="10"/>
  <c r="H529" i="10"/>
  <c r="F528" i="10"/>
  <c r="E528" i="10"/>
  <c r="H528" i="10"/>
  <c r="H527" i="10"/>
  <c r="F527" i="10"/>
  <c r="E527" i="10"/>
  <c r="E526" i="10"/>
  <c r="F525" i="10"/>
  <c r="E525" i="10"/>
  <c r="H525" i="10"/>
  <c r="E524" i="10"/>
  <c r="H523" i="10"/>
  <c r="F523" i="10"/>
  <c r="E523" i="10"/>
  <c r="E522" i="10"/>
  <c r="F521" i="10"/>
  <c r="H520" i="10"/>
  <c r="E520" i="10"/>
  <c r="F520" i="10"/>
  <c r="H519" i="10"/>
  <c r="F519" i="10"/>
  <c r="E519" i="10"/>
  <c r="F518" i="10"/>
  <c r="E518" i="10"/>
  <c r="H517" i="10"/>
  <c r="E517" i="10"/>
  <c r="F517" i="10"/>
  <c r="H516" i="10"/>
  <c r="E516" i="10"/>
  <c r="F516" i="10"/>
  <c r="E515" i="10"/>
  <c r="F515" i="10"/>
  <c r="E514" i="10"/>
  <c r="F512" i="10"/>
  <c r="E511" i="10"/>
  <c r="F510" i="10"/>
  <c r="E510" i="10"/>
  <c r="F509" i="10"/>
  <c r="E509" i="10"/>
  <c r="E508" i="10"/>
  <c r="F508" i="10"/>
  <c r="F507" i="10"/>
  <c r="E507" i="10"/>
  <c r="H507" i="10"/>
  <c r="F506" i="10"/>
  <c r="E506" i="10"/>
  <c r="H506" i="10"/>
  <c r="F505" i="10"/>
  <c r="E505" i="10"/>
  <c r="H504" i="10"/>
  <c r="E504" i="10"/>
  <c r="F504" i="10"/>
  <c r="E503" i="10"/>
  <c r="F502" i="10"/>
  <c r="E502" i="10"/>
  <c r="H502" i="10"/>
  <c r="H501" i="10"/>
  <c r="F501" i="10"/>
  <c r="E501" i="10"/>
  <c r="H500" i="10"/>
  <c r="E500" i="10"/>
  <c r="F500" i="10"/>
  <c r="F499" i="10"/>
  <c r="E499" i="10"/>
  <c r="H499" i="10"/>
  <c r="F498" i="10"/>
  <c r="E498" i="10"/>
  <c r="H497" i="10"/>
  <c r="F497" i="10"/>
  <c r="E497" i="10"/>
  <c r="E496" i="10"/>
  <c r="F496" i="10"/>
  <c r="G493" i="10"/>
  <c r="E493" i="10"/>
  <c r="C493" i="10"/>
  <c r="A493" i="10"/>
  <c r="B478" i="10"/>
  <c r="B475" i="10"/>
  <c r="B474" i="10"/>
  <c r="B473" i="10"/>
  <c r="B472" i="10"/>
  <c r="B471" i="10"/>
  <c r="B470" i="10"/>
  <c r="C469" i="10"/>
  <c r="B469" i="10"/>
  <c r="B468" i="10"/>
  <c r="B464" i="10"/>
  <c r="B463" i="10"/>
  <c r="C459" i="10"/>
  <c r="B459" i="10"/>
  <c r="B458" i="10"/>
  <c r="B455" i="10"/>
  <c r="B454" i="10"/>
  <c r="B453" i="10"/>
  <c r="C447" i="10"/>
  <c r="C446" i="10"/>
  <c r="C445" i="10"/>
  <c r="C444" i="10"/>
  <c r="B438" i="10"/>
  <c r="B437" i="10"/>
  <c r="D436" i="10"/>
  <c r="B436" i="10"/>
  <c r="B435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94" i="10"/>
  <c r="CE730" i="10" s="1"/>
  <c r="C392" i="10"/>
  <c r="CD730" i="10" s="1"/>
  <c r="C389" i="10"/>
  <c r="D390" i="10" s="1"/>
  <c r="B441" i="10" s="1"/>
  <c r="D372" i="10"/>
  <c r="D367" i="10"/>
  <c r="C448" i="10" s="1"/>
  <c r="D361" i="10"/>
  <c r="N817" i="10" s="1"/>
  <c r="C324" i="10"/>
  <c r="AW730" i="10" s="1"/>
  <c r="C323" i="10"/>
  <c r="D319" i="10"/>
  <c r="C313" i="10"/>
  <c r="C306" i="10"/>
  <c r="D290" i="10"/>
  <c r="C279" i="10"/>
  <c r="Y730" i="10" s="1"/>
  <c r="D275" i="10"/>
  <c r="B476" i="10" s="1"/>
  <c r="C262" i="10"/>
  <c r="L730" i="10" s="1"/>
  <c r="C255" i="10"/>
  <c r="G730" i="10" s="1"/>
  <c r="C252" i="10"/>
  <c r="D240" i="10"/>
  <c r="B447" i="10" s="1"/>
  <c r="D236" i="10"/>
  <c r="B446" i="10" s="1"/>
  <c r="D229" i="10"/>
  <c r="B445" i="10" s="1"/>
  <c r="D221" i="10"/>
  <c r="CD722" i="10" s="1"/>
  <c r="C217" i="10"/>
  <c r="D433" i="10" s="1"/>
  <c r="B217" i="10"/>
  <c r="E216" i="10"/>
  <c r="E215" i="10"/>
  <c r="E214" i="10"/>
  <c r="D213" i="10"/>
  <c r="BJ722" i="10" s="1"/>
  <c r="E212" i="10"/>
  <c r="E211" i="10"/>
  <c r="E210" i="10"/>
  <c r="E209" i="10"/>
  <c r="D204" i="10"/>
  <c r="B204" i="10"/>
  <c r="C203" i="10"/>
  <c r="C204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E195" i="10"/>
  <c r="D190" i="10"/>
  <c r="D437" i="10" s="1"/>
  <c r="D186" i="10"/>
  <c r="D181" i="10"/>
  <c r="D435" i="10" s="1"/>
  <c r="D177" i="10"/>
  <c r="D434" i="10" s="1"/>
  <c r="D173" i="10"/>
  <c r="D428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E141" i="10"/>
  <c r="D463" i="10" s="1"/>
  <c r="D140" i="10"/>
  <c r="AJ726" i="10" s="1"/>
  <c r="C140" i="10"/>
  <c r="AE726" i="10" s="1"/>
  <c r="B140" i="10"/>
  <c r="Z726" i="10" s="1"/>
  <c r="E139" i="10"/>
  <c r="C415" i="10" s="1"/>
  <c r="E138" i="10"/>
  <c r="C414" i="10" s="1"/>
  <c r="E127" i="10"/>
  <c r="CE80" i="10"/>
  <c r="T816" i="10" s="1"/>
  <c r="CF79" i="10"/>
  <c r="CE79" i="10"/>
  <c r="AG78" i="10"/>
  <c r="R764" i="10" s="1"/>
  <c r="E78" i="10"/>
  <c r="R736" i="10" s="1"/>
  <c r="CE77" i="10"/>
  <c r="Q816" i="10" s="1"/>
  <c r="CA76" i="10"/>
  <c r="P810" i="10" s="1"/>
  <c r="BN76" i="10"/>
  <c r="P797" i="10" s="1"/>
  <c r="BK76" i="10"/>
  <c r="P794" i="10" s="1"/>
  <c r="BJ76" i="10"/>
  <c r="P793" i="10" s="1"/>
  <c r="BH76" i="10"/>
  <c r="P791" i="10" s="1"/>
  <c r="BF76" i="10"/>
  <c r="P789" i="10" s="1"/>
  <c r="BE76" i="10"/>
  <c r="P788" i="10" s="1"/>
  <c r="AY76" i="10"/>
  <c r="P782" i="10" s="1"/>
  <c r="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N735" i="10" s="1"/>
  <c r="C75" i="10"/>
  <c r="N734" i="10" s="1"/>
  <c r="U74" i="10"/>
  <c r="E74" i="10"/>
  <c r="E75" i="10" s="1"/>
  <c r="N736" i="10" s="1"/>
  <c r="U73" i="10"/>
  <c r="O752" i="10" s="1"/>
  <c r="E73" i="10"/>
  <c r="CE70" i="10"/>
  <c r="M816" i="10" s="1"/>
  <c r="CD69" i="10"/>
  <c r="CE69" i="10" s="1"/>
  <c r="L816" i="10" s="1"/>
  <c r="U69" i="10"/>
  <c r="L752" i="10" s="1"/>
  <c r="E69" i="10"/>
  <c r="L736" i="10" s="1"/>
  <c r="E68" i="10"/>
  <c r="CE68" i="10" s="1"/>
  <c r="BE66" i="10"/>
  <c r="I788" i="10" s="1"/>
  <c r="E66" i="10"/>
  <c r="BE65" i="10"/>
  <c r="H788" i="10" s="1"/>
  <c r="BE64" i="10"/>
  <c r="G788" i="10" s="1"/>
  <c r="U64" i="10"/>
  <c r="G752" i="10" s="1"/>
  <c r="E64" i="10"/>
  <c r="G736" i="10" s="1"/>
  <c r="E63" i="10"/>
  <c r="U61" i="10"/>
  <c r="D752" i="10" s="1"/>
  <c r="E61" i="10"/>
  <c r="D736" i="10" s="1"/>
  <c r="CE60" i="10"/>
  <c r="B53" i="10"/>
  <c r="BE51" i="10"/>
  <c r="E51" i="10"/>
  <c r="B49" i="10"/>
  <c r="CE47" i="10"/>
  <c r="U47" i="10"/>
  <c r="E47" i="10"/>
  <c r="D242" i="10" l="1"/>
  <c r="B448" i="10" s="1"/>
  <c r="D438" i="10"/>
  <c r="K736" i="10"/>
  <c r="CE65" i="10"/>
  <c r="H816" i="10" s="1"/>
  <c r="U75" i="10"/>
  <c r="N752" i="10" s="1"/>
  <c r="CE74" i="10"/>
  <c r="C464" i="10" s="1"/>
  <c r="CE78" i="10"/>
  <c r="R816" i="10" s="1"/>
  <c r="E213" i="10"/>
  <c r="E217" i="10" s="1"/>
  <c r="C478" i="10" s="1"/>
  <c r="CF77" i="10"/>
  <c r="G815" i="10"/>
  <c r="Q815" i="10"/>
  <c r="CC730" i="10"/>
  <c r="CE61" i="10"/>
  <c r="D277" i="10"/>
  <c r="G612" i="10"/>
  <c r="H513" i="10"/>
  <c r="F513" i="10"/>
  <c r="D816" i="10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427" i="10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D283" i="10"/>
  <c r="C440" i="10"/>
  <c r="G48" i="10"/>
  <c r="G62" i="10" s="1"/>
  <c r="S48" i="10"/>
  <c r="S62" i="10" s="1"/>
  <c r="AF48" i="10"/>
  <c r="AF62" i="10" s="1"/>
  <c r="AR48" i="10"/>
  <c r="AR62" i="10" s="1"/>
  <c r="BF48" i="10"/>
  <c r="BF62" i="10" s="1"/>
  <c r="BS48" i="10"/>
  <c r="BS62" i="10" s="1"/>
  <c r="F736" i="10"/>
  <c r="F815" i="10" s="1"/>
  <c r="CE63" i="10"/>
  <c r="D730" i="10"/>
  <c r="D260" i="10"/>
  <c r="B444" i="10"/>
  <c r="F536" i="10"/>
  <c r="CE51" i="10"/>
  <c r="S816" i="10"/>
  <c r="J612" i="10"/>
  <c r="AI730" i="10"/>
  <c r="D314" i="10"/>
  <c r="D339" i="10" s="1"/>
  <c r="C482" i="10" s="1"/>
  <c r="J48" i="10"/>
  <c r="J62" i="10" s="1"/>
  <c r="BH48" i="10"/>
  <c r="BH62" i="10" s="1"/>
  <c r="CE75" i="10"/>
  <c r="F503" i="10"/>
  <c r="F511" i="10"/>
  <c r="W48" i="10"/>
  <c r="W62" i="10" s="1"/>
  <c r="AV48" i="10"/>
  <c r="AV62" i="10" s="1"/>
  <c r="D368" i="10"/>
  <c r="D373" i="10" s="1"/>
  <c r="D391" i="10" s="1"/>
  <c r="D393" i="10" s="1"/>
  <c r="D396" i="10" s="1"/>
  <c r="F529" i="10"/>
  <c r="F535" i="10"/>
  <c r="K48" i="10"/>
  <c r="K62" i="10" s="1"/>
  <c r="AJ48" i="10"/>
  <c r="AJ62" i="10" s="1"/>
  <c r="BK48" i="10"/>
  <c r="BK62" i="10" s="1"/>
  <c r="P736" i="10"/>
  <c r="CE76" i="10"/>
  <c r="D265" i="10"/>
  <c r="K816" i="10"/>
  <c r="C434" i="10"/>
  <c r="H539" i="10"/>
  <c r="F539" i="10"/>
  <c r="AI48" i="10"/>
  <c r="AI62" i="10" s="1"/>
  <c r="BV48" i="10"/>
  <c r="BV62" i="10" s="1"/>
  <c r="AP730" i="10"/>
  <c r="D329" i="10"/>
  <c r="E62" i="10"/>
  <c r="X48" i="10"/>
  <c r="X62" i="10" s="1"/>
  <c r="AX48" i="10"/>
  <c r="AX62" i="10" s="1"/>
  <c r="BW48" i="10"/>
  <c r="BW62" i="10" s="1"/>
  <c r="L48" i="10"/>
  <c r="L62" i="10" s="1"/>
  <c r="Z48" i="10"/>
  <c r="Z62" i="10" s="1"/>
  <c r="AM48" i="10"/>
  <c r="AM62" i="10" s="1"/>
  <c r="AY48" i="10"/>
  <c r="AY62" i="10" s="1"/>
  <c r="BL48" i="10"/>
  <c r="BL62" i="10" s="1"/>
  <c r="BX48" i="10"/>
  <c r="BX62" i="10" s="1"/>
  <c r="C816" i="10"/>
  <c r="H612" i="10"/>
  <c r="U813" i="10"/>
  <c r="U815" i="10" s="1"/>
  <c r="C615" i="10"/>
  <c r="CD71" i="10"/>
  <c r="E142" i="10"/>
  <c r="D464" i="10" s="1"/>
  <c r="D465" i="10" s="1"/>
  <c r="C468" i="10"/>
  <c r="AQ722" i="10"/>
  <c r="E203" i="10"/>
  <c r="C475" i="10" s="1"/>
  <c r="AV730" i="10"/>
  <c r="D328" i="10"/>
  <c r="D330" i="10" s="1"/>
  <c r="L817" i="10"/>
  <c r="B439" i="10"/>
  <c r="B440" i="10" s="1"/>
  <c r="C438" i="10"/>
  <c r="F514" i="10"/>
  <c r="F533" i="10"/>
  <c r="I736" i="10"/>
  <c r="I815" i="10" s="1"/>
  <c r="CE66" i="10"/>
  <c r="O736" i="10"/>
  <c r="O815" i="10" s="1"/>
  <c r="CE73" i="10"/>
  <c r="N815" i="10"/>
  <c r="E140" i="10"/>
  <c r="C458" i="10"/>
  <c r="B465" i="10"/>
  <c r="L612" i="10"/>
  <c r="CE64" i="10"/>
  <c r="D217" i="10"/>
  <c r="F524" i="10"/>
  <c r="C439" i="10"/>
  <c r="F522" i="10"/>
  <c r="F526" i="10"/>
  <c r="F545" i="10"/>
  <c r="F550" i="10"/>
  <c r="P815" i="10"/>
  <c r="K815" i="10"/>
  <c r="T815" i="10"/>
  <c r="H815" i="10"/>
  <c r="R815" i="10"/>
  <c r="S815" i="10"/>
  <c r="D815" i="10"/>
  <c r="M815" i="10"/>
  <c r="F493" i="1"/>
  <c r="D493" i="1"/>
  <c r="B493" i="1"/>
  <c r="C575" i="10" l="1"/>
  <c r="B575" i="11"/>
  <c r="B575" i="1"/>
  <c r="I612" i="10"/>
  <c r="C431" i="10"/>
  <c r="BO48" i="10"/>
  <c r="BO62" i="10" s="1"/>
  <c r="E798" i="10" s="1"/>
  <c r="AP48" i="10"/>
  <c r="AP62" i="10" s="1"/>
  <c r="E773" i="10" s="1"/>
  <c r="P48" i="10"/>
  <c r="P62" i="10" s="1"/>
  <c r="E747" i="10" s="1"/>
  <c r="BN48" i="10"/>
  <c r="BN62" i="10" s="1"/>
  <c r="E797" i="10" s="1"/>
  <c r="AN48" i="10"/>
  <c r="AN62" i="10" s="1"/>
  <c r="E771" i="10" s="1"/>
  <c r="O48" i="10"/>
  <c r="O62" i="10" s="1"/>
  <c r="E746" i="10" s="1"/>
  <c r="BT48" i="10"/>
  <c r="BT62" i="10" s="1"/>
  <c r="E803" i="10" s="1"/>
  <c r="BG48" i="10"/>
  <c r="BG62" i="10" s="1"/>
  <c r="E790" i="10" s="1"/>
  <c r="AU48" i="10"/>
  <c r="AU62" i="10" s="1"/>
  <c r="E778" i="10" s="1"/>
  <c r="AH48" i="10"/>
  <c r="AH62" i="10" s="1"/>
  <c r="E765" i="10" s="1"/>
  <c r="T48" i="10"/>
  <c r="T62" i="10" s="1"/>
  <c r="E751" i="10" s="1"/>
  <c r="H48" i="10"/>
  <c r="H62" i="10" s="1"/>
  <c r="E739" i="10" s="1"/>
  <c r="BP48" i="10"/>
  <c r="BP62" i="10" s="1"/>
  <c r="E799" i="10" s="1"/>
  <c r="BD48" i="10"/>
  <c r="BD62" i="10" s="1"/>
  <c r="E787" i="10" s="1"/>
  <c r="AQ48" i="10"/>
  <c r="AQ62" i="10" s="1"/>
  <c r="E774" i="10" s="1"/>
  <c r="AE48" i="10"/>
  <c r="AE62" i="10" s="1"/>
  <c r="E762" i="10" s="1"/>
  <c r="R48" i="10"/>
  <c r="R62" i="10" s="1"/>
  <c r="E749" i="10" s="1"/>
  <c r="D48" i="10"/>
  <c r="D62" i="10" s="1"/>
  <c r="E735" i="10" s="1"/>
  <c r="CB48" i="10"/>
  <c r="CB62" i="10" s="1"/>
  <c r="E811" i="10" s="1"/>
  <c r="BC48" i="10"/>
  <c r="BC62" i="10" s="1"/>
  <c r="E786" i="10" s="1"/>
  <c r="AB48" i="10"/>
  <c r="AB62" i="10" s="1"/>
  <c r="E759" i="10" s="1"/>
  <c r="C48" i="10"/>
  <c r="C62" i="10" s="1"/>
  <c r="E734" i="10" s="1"/>
  <c r="CA48" i="10"/>
  <c r="CA62" i="10" s="1"/>
  <c r="E810" i="10" s="1"/>
  <c r="AZ48" i="10"/>
  <c r="AZ62" i="10" s="1"/>
  <c r="E783" i="10" s="1"/>
  <c r="AA48" i="10"/>
  <c r="AA62" i="10" s="1"/>
  <c r="E758" i="10" s="1"/>
  <c r="E752" i="10"/>
  <c r="E743" i="10"/>
  <c r="E754" i="10"/>
  <c r="E737" i="10"/>
  <c r="E742" i="10"/>
  <c r="E788" i="10"/>
  <c r="O816" i="10"/>
  <c r="C463" i="10"/>
  <c r="E806" i="10"/>
  <c r="E802" i="10"/>
  <c r="E768" i="10"/>
  <c r="E753" i="10"/>
  <c r="E796" i="10"/>
  <c r="E805" i="10"/>
  <c r="E767" i="10"/>
  <c r="E780" i="10"/>
  <c r="E766" i="10"/>
  <c r="E760" i="10"/>
  <c r="E745" i="10"/>
  <c r="E204" i="10"/>
  <c r="C476" i="10" s="1"/>
  <c r="E807" i="10"/>
  <c r="E781" i="10"/>
  <c r="D292" i="10"/>
  <c r="D341" i="10" s="1"/>
  <c r="C481" i="10" s="1"/>
  <c r="E789" i="10"/>
  <c r="E776" i="10"/>
  <c r="E761" i="10"/>
  <c r="E740" i="10"/>
  <c r="E804" i="10"/>
  <c r="E769" i="10"/>
  <c r="E782" i="10"/>
  <c r="N816" i="10"/>
  <c r="K612" i="10"/>
  <c r="C465" i="10"/>
  <c r="E792" i="10"/>
  <c r="E755" i="10"/>
  <c r="P816" i="10"/>
  <c r="D612" i="10"/>
  <c r="BZ52" i="10"/>
  <c r="BZ67" i="10" s="1"/>
  <c r="J809" i="10" s="1"/>
  <c r="AC52" i="10"/>
  <c r="AC67" i="10" s="1"/>
  <c r="J760" i="10" s="1"/>
  <c r="CF76" i="10"/>
  <c r="BQ52" i="10" s="1"/>
  <c r="BQ67" i="10" s="1"/>
  <c r="R52" i="10"/>
  <c r="R67" i="10" s="1"/>
  <c r="BM52" i="10"/>
  <c r="BM67" i="10" s="1"/>
  <c r="J796" i="10" s="1"/>
  <c r="AG52" i="10"/>
  <c r="AG67" i="10" s="1"/>
  <c r="J764" i="10" s="1"/>
  <c r="V52" i="10"/>
  <c r="V67" i="10" s="1"/>
  <c r="J753" i="10" s="1"/>
  <c r="AT52" i="10"/>
  <c r="AT67" i="10" s="1"/>
  <c r="J777" i="10" s="1"/>
  <c r="AD52" i="10"/>
  <c r="AD67" i="10" s="1"/>
  <c r="J761" i="10" s="1"/>
  <c r="BO52" i="10"/>
  <c r="BO67" i="10" s="1"/>
  <c r="BL52" i="10"/>
  <c r="BL67" i="10" s="1"/>
  <c r="J795" i="10" s="1"/>
  <c r="AE52" i="10"/>
  <c r="AE67" i="10" s="1"/>
  <c r="BD52" i="10"/>
  <c r="BD67" i="10" s="1"/>
  <c r="AV52" i="10"/>
  <c r="AV67" i="10" s="1"/>
  <c r="J779" i="10" s="1"/>
  <c r="H52" i="10"/>
  <c r="H67" i="10" s="1"/>
  <c r="E784" i="10"/>
  <c r="E812" i="10"/>
  <c r="E736" i="10"/>
  <c r="E756" i="10"/>
  <c r="G816" i="10"/>
  <c r="F612" i="10"/>
  <c r="C430" i="10"/>
  <c r="I816" i="10"/>
  <c r="C432" i="10"/>
  <c r="E770" i="10"/>
  <c r="E791" i="10"/>
  <c r="E750" i="10"/>
  <c r="E800" i="10"/>
  <c r="E785" i="10"/>
  <c r="E764" i="10"/>
  <c r="AG71" i="10"/>
  <c r="B526" i="11" s="1"/>
  <c r="E795" i="10"/>
  <c r="E775" i="10"/>
  <c r="E748" i="10"/>
  <c r="E763" i="10"/>
  <c r="E777" i="10"/>
  <c r="E757" i="10"/>
  <c r="E794" i="10"/>
  <c r="E779" i="10"/>
  <c r="E741" i="10"/>
  <c r="F816" i="10"/>
  <c r="C429" i="10"/>
  <c r="E738" i="10"/>
  <c r="E744" i="10"/>
  <c r="E808" i="10"/>
  <c r="E793" i="10"/>
  <c r="E772" i="10"/>
  <c r="L815" i="10"/>
  <c r="E801" i="10"/>
  <c r="E809" i="10"/>
  <c r="A493" i="1"/>
  <c r="A730" i="1"/>
  <c r="A726" i="1"/>
  <c r="A722" i="1"/>
  <c r="C115" i="8"/>
  <c r="CB730" i="1"/>
  <c r="C444" i="1"/>
  <c r="D367" i="1"/>
  <c r="C119" i="8" s="1"/>
  <c r="D221" i="1"/>
  <c r="B444" i="1" s="1"/>
  <c r="D5" i="7"/>
  <c r="D12" i="6"/>
  <c r="I286" i="9"/>
  <c r="G159" i="9"/>
  <c r="S764" i="1"/>
  <c r="D127" i="9"/>
  <c r="I63" i="9"/>
  <c r="V813" i="1"/>
  <c r="V815" i="1" s="1"/>
  <c r="C101" i="8"/>
  <c r="C100" i="8"/>
  <c r="C91" i="8"/>
  <c r="C93" i="8"/>
  <c r="C95" i="8"/>
  <c r="C97" i="8"/>
  <c r="E20" i="2"/>
  <c r="E19" i="2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B48" i="1" s="1"/>
  <c r="BB62" i="1" s="1"/>
  <c r="CE65" i="1"/>
  <c r="C431" i="1" s="1"/>
  <c r="CE63" i="1"/>
  <c r="C429" i="1" s="1"/>
  <c r="CE66" i="1"/>
  <c r="I368" i="9" s="1"/>
  <c r="CE68" i="1"/>
  <c r="C434" i="1" s="1"/>
  <c r="D75" i="1"/>
  <c r="AR75" i="1"/>
  <c r="I186" i="9" s="1"/>
  <c r="AS75" i="1"/>
  <c r="N776" i="1" s="1"/>
  <c r="AT75" i="1"/>
  <c r="D218" i="9" s="1"/>
  <c r="AU75" i="1"/>
  <c r="E218" i="9" s="1"/>
  <c r="AQ75" i="1"/>
  <c r="H186" i="9" s="1"/>
  <c r="AO75" i="1"/>
  <c r="AN75" i="1"/>
  <c r="E186" i="9" s="1"/>
  <c r="AM75" i="1"/>
  <c r="N770" i="1" s="1"/>
  <c r="D186" i="9"/>
  <c r="AI75" i="1"/>
  <c r="G154" i="9" s="1"/>
  <c r="AH75" i="1"/>
  <c r="F154" i="9" s="1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N754" i="1" s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 s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 s="1"/>
  <c r="AB75" i="1"/>
  <c r="N759" i="1" s="1"/>
  <c r="Y75" i="1"/>
  <c r="D122" i="9" s="1"/>
  <c r="U75" i="1"/>
  <c r="N752" i="1" s="1"/>
  <c r="S75" i="1"/>
  <c r="E90" i="9" s="1"/>
  <c r="K75" i="1"/>
  <c r="J75" i="1"/>
  <c r="E75" i="1"/>
  <c r="E26" i="9" s="1"/>
  <c r="CE73" i="1"/>
  <c r="O816" i="1" s="1"/>
  <c r="CE74" i="1"/>
  <c r="C464" i="1" s="1"/>
  <c r="C75" i="1"/>
  <c r="C26" i="9" s="1"/>
  <c r="CE80" i="1"/>
  <c r="CE78" i="1"/>
  <c r="I382" i="9" s="1"/>
  <c r="CE69" i="1"/>
  <c r="I371" i="9" s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D361" i="1"/>
  <c r="N817" i="1" s="1"/>
  <c r="D372" i="1"/>
  <c r="C125" i="8" s="1"/>
  <c r="D260" i="1"/>
  <c r="C16" i="8" s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10" i="1"/>
  <c r="E211" i="1"/>
  <c r="F26" i="6" s="1"/>
  <c r="E212" i="1"/>
  <c r="E213" i="1"/>
  <c r="F28" i="6" s="1"/>
  <c r="E214" i="1"/>
  <c r="F29" i="6" s="1"/>
  <c r="E215" i="1"/>
  <c r="F30" i="6" s="1"/>
  <c r="E216" i="1"/>
  <c r="D217" i="1"/>
  <c r="E32" i="6" s="1"/>
  <c r="C217" i="1"/>
  <c r="D433" i="1" s="1"/>
  <c r="E196" i="1"/>
  <c r="C469" i="1" s="1"/>
  <c r="E197" i="1"/>
  <c r="F9" i="6" s="1"/>
  <c r="E198" i="1"/>
  <c r="E199" i="1"/>
  <c r="F11" i="6" s="1"/>
  <c r="E200" i="1"/>
  <c r="F12" i="6" s="1"/>
  <c r="E201" i="1"/>
  <c r="E202" i="1"/>
  <c r="C474" i="1" s="1"/>
  <c r="E203" i="1"/>
  <c r="C475" i="1" s="1"/>
  <c r="D204" i="1"/>
  <c r="E16" i="6" s="1"/>
  <c r="B204" i="1"/>
  <c r="D190" i="1"/>
  <c r="D437" i="1" s="1"/>
  <c r="D186" i="1"/>
  <c r="D436" i="1" s="1"/>
  <c r="D181" i="1"/>
  <c r="D177" i="1"/>
  <c r="C20" i="5" s="1"/>
  <c r="E154" i="1"/>
  <c r="E153" i="1"/>
  <c r="E152" i="1"/>
  <c r="D28" i="4" s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D463" i="1" s="1"/>
  <c r="E140" i="1"/>
  <c r="D10" i="4" s="1"/>
  <c r="E139" i="1"/>
  <c r="C10" i="4" s="1"/>
  <c r="E127" i="1"/>
  <c r="CF79" i="1"/>
  <c r="B53" i="1"/>
  <c r="B49" i="1"/>
  <c r="A412" i="1"/>
  <c r="G493" i="1"/>
  <c r="E493" i="1"/>
  <c r="C493" i="1"/>
  <c r="O817" i="1"/>
  <c r="M817" i="1"/>
  <c r="K817" i="1"/>
  <c r="J817" i="1"/>
  <c r="I817" i="1"/>
  <c r="H817" i="1"/>
  <c r="G817" i="1"/>
  <c r="F817" i="1"/>
  <c r="E817" i="1"/>
  <c r="D817" i="1"/>
  <c r="X813" i="1"/>
  <c r="X815" i="1" s="1"/>
  <c r="W813" i="1"/>
  <c r="W815" i="1"/>
  <c r="U813" i="1"/>
  <c r="U815" i="1" s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S734" i="1"/>
  <c r="S736" i="1"/>
  <c r="S737" i="1"/>
  <c r="S747" i="1"/>
  <c r="S749" i="1"/>
  <c r="S750" i="1"/>
  <c r="S753" i="1"/>
  <c r="S755" i="1"/>
  <c r="S756" i="1"/>
  <c r="S757" i="1"/>
  <c r="S758" i="1"/>
  <c r="S759" i="1"/>
  <c r="S760" i="1"/>
  <c r="S761" i="1"/>
  <c r="S762" i="1"/>
  <c r="S766" i="1"/>
  <c r="S767" i="1"/>
  <c r="S777" i="1"/>
  <c r="S779" i="1"/>
  <c r="S780" i="1"/>
  <c r="S786" i="1"/>
  <c r="S802" i="1"/>
  <c r="S740" i="1"/>
  <c r="S785" i="1"/>
  <c r="S735" i="1"/>
  <c r="S738" i="1"/>
  <c r="S739" i="1"/>
  <c r="S741" i="1"/>
  <c r="S742" i="1"/>
  <c r="S743" i="1"/>
  <c r="S744" i="1"/>
  <c r="S745" i="1"/>
  <c r="S746" i="1"/>
  <c r="S751" i="1"/>
  <c r="S752" i="1"/>
  <c r="S754" i="1"/>
  <c r="S763" i="1"/>
  <c r="S765" i="1"/>
  <c r="S768" i="1"/>
  <c r="S769" i="1"/>
  <c r="S770" i="1"/>
  <c r="S771" i="1"/>
  <c r="S772" i="1"/>
  <c r="S773" i="1"/>
  <c r="S774" i="1"/>
  <c r="S775" i="1"/>
  <c r="S776" i="1"/>
  <c r="S778" i="1"/>
  <c r="S781" i="1"/>
  <c r="S782" i="1"/>
  <c r="S783" i="1"/>
  <c r="S784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6" i="1"/>
  <c r="S807" i="1"/>
  <c r="S808" i="1"/>
  <c r="S809" i="1"/>
  <c r="S810" i="1"/>
  <c r="S811" i="1"/>
  <c r="S812" i="1"/>
  <c r="R734" i="1"/>
  <c r="R736" i="1"/>
  <c r="R737" i="1"/>
  <c r="R740" i="1"/>
  <c r="R742" i="1"/>
  <c r="R745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4" i="1"/>
  <c r="R766" i="1"/>
  <c r="R767" i="1"/>
  <c r="R768" i="1"/>
  <c r="R769" i="1"/>
  <c r="R775" i="1"/>
  <c r="R776" i="1"/>
  <c r="R777" i="1"/>
  <c r="R778" i="1"/>
  <c r="R779" i="1"/>
  <c r="R784" i="1"/>
  <c r="R791" i="1"/>
  <c r="R796" i="1"/>
  <c r="R794" i="1"/>
  <c r="R802" i="1"/>
  <c r="R803" i="1"/>
  <c r="R804" i="1"/>
  <c r="R805" i="1"/>
  <c r="R806" i="1"/>
  <c r="R807" i="1"/>
  <c r="R808" i="1"/>
  <c r="R810" i="1"/>
  <c r="R735" i="1"/>
  <c r="R738" i="1"/>
  <c r="R739" i="1"/>
  <c r="R741" i="1"/>
  <c r="R743" i="1"/>
  <c r="R744" i="1"/>
  <c r="R746" i="1"/>
  <c r="R763" i="1"/>
  <c r="R765" i="1"/>
  <c r="R770" i="1"/>
  <c r="R771" i="1"/>
  <c r="R772" i="1"/>
  <c r="R773" i="1"/>
  <c r="R774" i="1"/>
  <c r="R780" i="1"/>
  <c r="R781" i="1"/>
  <c r="R782" i="1"/>
  <c r="R783" i="1"/>
  <c r="R785" i="1"/>
  <c r="R786" i="1"/>
  <c r="R787" i="1"/>
  <c r="R788" i="1"/>
  <c r="R789" i="1"/>
  <c r="R790" i="1"/>
  <c r="R792" i="1"/>
  <c r="R793" i="1"/>
  <c r="R795" i="1"/>
  <c r="R797" i="1"/>
  <c r="R798" i="1"/>
  <c r="R799" i="1"/>
  <c r="R800" i="1"/>
  <c r="R801" i="1"/>
  <c r="R809" i="1"/>
  <c r="R811" i="1"/>
  <c r="R812" i="1"/>
  <c r="Q734" i="1"/>
  <c r="Q736" i="1"/>
  <c r="Q737" i="1"/>
  <c r="Q740" i="1"/>
  <c r="Q764" i="1"/>
  <c r="Q766" i="1"/>
  <c r="Q735" i="1"/>
  <c r="Q738" i="1"/>
  <c r="Q739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5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801" i="1"/>
  <c r="P802" i="1"/>
  <c r="P803" i="1"/>
  <c r="P804" i="1"/>
  <c r="P805" i="1"/>
  <c r="P806" i="1"/>
  <c r="P807" i="1"/>
  <c r="P808" i="1"/>
  <c r="P810" i="1"/>
  <c r="P811" i="1"/>
  <c r="P785" i="1"/>
  <c r="P799" i="1"/>
  <c r="P800" i="1"/>
  <c r="P809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N734" i="1"/>
  <c r="N755" i="1"/>
  <c r="N764" i="1"/>
  <c r="N768" i="1"/>
  <c r="N771" i="1"/>
  <c r="N777" i="1"/>
  <c r="N763" i="1"/>
  <c r="N773" i="1"/>
  <c r="L734" i="1"/>
  <c r="L736" i="1"/>
  <c r="L737" i="1"/>
  <c r="L740" i="1"/>
  <c r="L745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4" i="1"/>
  <c r="L766" i="1"/>
  <c r="L767" i="1"/>
  <c r="L768" i="1"/>
  <c r="L769" i="1"/>
  <c r="L771" i="1"/>
  <c r="L775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735" i="1"/>
  <c r="L738" i="1"/>
  <c r="L739" i="1"/>
  <c r="L741" i="1"/>
  <c r="L742" i="1"/>
  <c r="L743" i="1"/>
  <c r="L744" i="1"/>
  <c r="L746" i="1"/>
  <c r="L763" i="1"/>
  <c r="L765" i="1"/>
  <c r="L770" i="1"/>
  <c r="L772" i="1"/>
  <c r="L773" i="1"/>
  <c r="L774" i="1"/>
  <c r="L776" i="1"/>
  <c r="L778" i="1"/>
  <c r="L799" i="1"/>
  <c r="L800" i="1"/>
  <c r="K734" i="1"/>
  <c r="K736" i="1"/>
  <c r="K737" i="1"/>
  <c r="K747" i="1"/>
  <c r="K750" i="1"/>
  <c r="K753" i="1"/>
  <c r="K756" i="1"/>
  <c r="K757" i="1"/>
  <c r="K759" i="1"/>
  <c r="K760" i="1"/>
  <c r="K761" i="1"/>
  <c r="K762" i="1"/>
  <c r="K764" i="1"/>
  <c r="K766" i="1"/>
  <c r="K767" i="1"/>
  <c r="K771" i="1"/>
  <c r="K775" i="1"/>
  <c r="K779" i="1"/>
  <c r="K780" i="1"/>
  <c r="K782" i="1"/>
  <c r="K783" i="1"/>
  <c r="K787" i="1"/>
  <c r="K788" i="1"/>
  <c r="K790" i="1"/>
  <c r="K791" i="1"/>
  <c r="K797" i="1"/>
  <c r="K812" i="1"/>
  <c r="K735" i="1"/>
  <c r="K738" i="1"/>
  <c r="K739" i="1"/>
  <c r="K740" i="1"/>
  <c r="K741" i="1"/>
  <c r="K742" i="1"/>
  <c r="K743" i="1"/>
  <c r="K744" i="1"/>
  <c r="K745" i="1"/>
  <c r="K746" i="1"/>
  <c r="K748" i="1"/>
  <c r="K749" i="1"/>
  <c r="K751" i="1"/>
  <c r="K752" i="1"/>
  <c r="K754" i="1"/>
  <c r="K755" i="1"/>
  <c r="K758" i="1"/>
  <c r="K763" i="1"/>
  <c r="K765" i="1"/>
  <c r="K768" i="1"/>
  <c r="K769" i="1"/>
  <c r="K770" i="1"/>
  <c r="K772" i="1"/>
  <c r="K773" i="1"/>
  <c r="K774" i="1"/>
  <c r="K776" i="1"/>
  <c r="K777" i="1"/>
  <c r="K778" i="1"/>
  <c r="K781" i="1"/>
  <c r="K784" i="1"/>
  <c r="K785" i="1"/>
  <c r="K786" i="1"/>
  <c r="K789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I734" i="1"/>
  <c r="I805" i="1"/>
  <c r="I806" i="1"/>
  <c r="I807" i="1"/>
  <c r="I808" i="1"/>
  <c r="I809" i="1"/>
  <c r="I810" i="1"/>
  <c r="I811" i="1"/>
  <c r="I736" i="1"/>
  <c r="I737" i="1"/>
  <c r="I740" i="1"/>
  <c r="I745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4" i="1"/>
  <c r="I766" i="1"/>
  <c r="I767" i="1"/>
  <c r="I771" i="1"/>
  <c r="I775" i="1"/>
  <c r="I777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801" i="1"/>
  <c r="I802" i="1"/>
  <c r="I803" i="1"/>
  <c r="I804" i="1"/>
  <c r="I735" i="1"/>
  <c r="I738" i="1"/>
  <c r="I739" i="1"/>
  <c r="I741" i="1"/>
  <c r="I742" i="1"/>
  <c r="I743" i="1"/>
  <c r="I744" i="1"/>
  <c r="I746" i="1"/>
  <c r="I763" i="1"/>
  <c r="I765" i="1"/>
  <c r="I768" i="1"/>
  <c r="I769" i="1"/>
  <c r="I770" i="1"/>
  <c r="I772" i="1"/>
  <c r="I773" i="1"/>
  <c r="I774" i="1"/>
  <c r="I776" i="1"/>
  <c r="I778" i="1"/>
  <c r="I799" i="1"/>
  <c r="I800" i="1"/>
  <c r="H734" i="1"/>
  <c r="H736" i="1"/>
  <c r="H737" i="1"/>
  <c r="H740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6" i="1"/>
  <c r="H767" i="1"/>
  <c r="H768" i="1"/>
  <c r="H769" i="1"/>
  <c r="H771" i="1"/>
  <c r="H775" i="1"/>
  <c r="H777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801" i="1"/>
  <c r="H802" i="1"/>
  <c r="H803" i="1"/>
  <c r="H805" i="1"/>
  <c r="H806" i="1"/>
  <c r="H807" i="1"/>
  <c r="H808" i="1"/>
  <c r="H809" i="1"/>
  <c r="H810" i="1"/>
  <c r="H811" i="1"/>
  <c r="H812" i="1"/>
  <c r="H735" i="1"/>
  <c r="H738" i="1"/>
  <c r="H739" i="1"/>
  <c r="H741" i="1"/>
  <c r="H742" i="1"/>
  <c r="H743" i="1"/>
  <c r="H744" i="1"/>
  <c r="H745" i="1"/>
  <c r="H746" i="1"/>
  <c r="H763" i="1"/>
  <c r="H765" i="1"/>
  <c r="H770" i="1"/>
  <c r="H772" i="1"/>
  <c r="H773" i="1"/>
  <c r="H774" i="1"/>
  <c r="H776" i="1"/>
  <c r="H778" i="1"/>
  <c r="H781" i="1"/>
  <c r="H799" i="1"/>
  <c r="H800" i="1"/>
  <c r="H804" i="1"/>
  <c r="G734" i="1"/>
  <c r="G736" i="1"/>
  <c r="G737" i="1"/>
  <c r="G740" i="1"/>
  <c r="G745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6" i="1"/>
  <c r="G767" i="1"/>
  <c r="G768" i="1"/>
  <c r="G769" i="1"/>
  <c r="G771" i="1"/>
  <c r="G775" i="1"/>
  <c r="G777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801" i="1"/>
  <c r="G802" i="1"/>
  <c r="G803" i="1"/>
  <c r="G804" i="1"/>
  <c r="G805" i="1"/>
  <c r="G806" i="1"/>
  <c r="G807" i="1"/>
  <c r="G808" i="1"/>
  <c r="G809" i="1"/>
  <c r="G810" i="1"/>
  <c r="G811" i="1"/>
  <c r="G735" i="1"/>
  <c r="G738" i="1"/>
  <c r="G739" i="1"/>
  <c r="G741" i="1"/>
  <c r="G742" i="1"/>
  <c r="G743" i="1"/>
  <c r="G744" i="1"/>
  <c r="G746" i="1"/>
  <c r="G763" i="1"/>
  <c r="G765" i="1"/>
  <c r="G770" i="1"/>
  <c r="G772" i="1"/>
  <c r="G773" i="1"/>
  <c r="G774" i="1"/>
  <c r="G776" i="1"/>
  <c r="G778" i="1"/>
  <c r="G799" i="1"/>
  <c r="G800" i="1"/>
  <c r="F734" i="1"/>
  <c r="F736" i="1"/>
  <c r="F737" i="1"/>
  <c r="F747" i="1"/>
  <c r="F749" i="1"/>
  <c r="F750" i="1"/>
  <c r="F752" i="1"/>
  <c r="F753" i="1"/>
  <c r="F755" i="1"/>
  <c r="F756" i="1"/>
  <c r="F757" i="1"/>
  <c r="F759" i="1"/>
  <c r="F760" i="1"/>
  <c r="F761" i="1"/>
  <c r="F762" i="1"/>
  <c r="F764" i="1"/>
  <c r="F767" i="1"/>
  <c r="F771" i="1"/>
  <c r="F775" i="1"/>
  <c r="F777" i="1"/>
  <c r="F779" i="1"/>
  <c r="F780" i="1"/>
  <c r="F781" i="1"/>
  <c r="F782" i="1"/>
  <c r="F783" i="1"/>
  <c r="F785" i="1"/>
  <c r="F786" i="1"/>
  <c r="F787" i="1"/>
  <c r="F788" i="1"/>
  <c r="F791" i="1"/>
  <c r="F792" i="1"/>
  <c r="F793" i="1"/>
  <c r="F794" i="1"/>
  <c r="F795" i="1"/>
  <c r="F796" i="1"/>
  <c r="F797" i="1"/>
  <c r="F801" i="1"/>
  <c r="F803" i="1"/>
  <c r="F805" i="1"/>
  <c r="F806" i="1"/>
  <c r="F807" i="1"/>
  <c r="F808" i="1"/>
  <c r="F810" i="1"/>
  <c r="F811" i="1"/>
  <c r="F812" i="1"/>
  <c r="F735" i="1"/>
  <c r="F738" i="1"/>
  <c r="F739" i="1"/>
  <c r="F740" i="1"/>
  <c r="F741" i="1"/>
  <c r="F742" i="1"/>
  <c r="F743" i="1"/>
  <c r="F744" i="1"/>
  <c r="F745" i="1"/>
  <c r="F746" i="1"/>
  <c r="F748" i="1"/>
  <c r="F751" i="1"/>
  <c r="F754" i="1"/>
  <c r="F758" i="1"/>
  <c r="F763" i="1"/>
  <c r="F765" i="1"/>
  <c r="F766" i="1"/>
  <c r="F768" i="1"/>
  <c r="F769" i="1"/>
  <c r="F770" i="1"/>
  <c r="F772" i="1"/>
  <c r="F773" i="1"/>
  <c r="F774" i="1"/>
  <c r="F776" i="1"/>
  <c r="F778" i="1"/>
  <c r="F784" i="1"/>
  <c r="F789" i="1"/>
  <c r="F790" i="1"/>
  <c r="F798" i="1"/>
  <c r="F799" i="1"/>
  <c r="F800" i="1"/>
  <c r="F802" i="1"/>
  <c r="F804" i="1"/>
  <c r="F809" i="1"/>
  <c r="D734" i="1"/>
  <c r="D736" i="1"/>
  <c r="D737" i="1"/>
  <c r="D740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6" i="1"/>
  <c r="D767" i="1"/>
  <c r="D768" i="1"/>
  <c r="D769" i="1"/>
  <c r="D771" i="1"/>
  <c r="D775" i="1"/>
  <c r="D777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735" i="1"/>
  <c r="D738" i="1"/>
  <c r="D739" i="1"/>
  <c r="D741" i="1"/>
  <c r="D742" i="1"/>
  <c r="D743" i="1"/>
  <c r="D744" i="1"/>
  <c r="D745" i="1"/>
  <c r="D746" i="1"/>
  <c r="D763" i="1"/>
  <c r="D765" i="1"/>
  <c r="D770" i="1"/>
  <c r="D772" i="1"/>
  <c r="D773" i="1"/>
  <c r="D774" i="1"/>
  <c r="D776" i="1"/>
  <c r="D778" i="1"/>
  <c r="D799" i="1"/>
  <c r="D800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B788" i="1"/>
  <c r="B784" i="1"/>
  <c r="B783" i="1"/>
  <c r="B782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5" i="1"/>
  <c r="B764" i="1"/>
  <c r="B763" i="1"/>
  <c r="B762" i="1"/>
  <c r="B761" i="1"/>
  <c r="B760" i="1"/>
  <c r="B758" i="1"/>
  <c r="B756" i="1"/>
  <c r="B755" i="1"/>
  <c r="B754" i="1"/>
  <c r="B752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CF730" i="1"/>
  <c r="CE730" i="1"/>
  <c r="CD730" i="1"/>
  <c r="CA730" i="1"/>
  <c r="BZ730" i="1"/>
  <c r="BY730" i="1"/>
  <c r="BX730" i="1"/>
  <c r="BW730" i="1"/>
  <c r="BV730" i="1"/>
  <c r="BU730" i="1"/>
  <c r="BT730" i="1"/>
  <c r="BS730" i="1"/>
  <c r="BR730" i="1"/>
  <c r="BQ730" i="1"/>
  <c r="BP730" i="1"/>
  <c r="BO730" i="1"/>
  <c r="BN730" i="1"/>
  <c r="BM730" i="1"/>
  <c r="BL730" i="1"/>
  <c r="BK730" i="1"/>
  <c r="BJ730" i="1"/>
  <c r="BF730" i="1"/>
  <c r="BE730" i="1"/>
  <c r="BB730" i="1"/>
  <c r="BA730" i="1"/>
  <c r="AZ730" i="1"/>
  <c r="AY730" i="1"/>
  <c r="AX730" i="1"/>
  <c r="AW730" i="1"/>
  <c r="AV730" i="1"/>
  <c r="AU730" i="1"/>
  <c r="AT730" i="1"/>
  <c r="AS730" i="1"/>
  <c r="AR730" i="1"/>
  <c r="AQ730" i="1"/>
  <c r="AP730" i="1"/>
  <c r="AO730" i="1"/>
  <c r="AN730" i="1"/>
  <c r="AM730" i="1"/>
  <c r="AL730" i="1"/>
  <c r="AK730" i="1"/>
  <c r="AJ730" i="1"/>
  <c r="AI730" i="1"/>
  <c r="AH730" i="1"/>
  <c r="AG730" i="1"/>
  <c r="AF730" i="1"/>
  <c r="AE730" i="1"/>
  <c r="AD730" i="1"/>
  <c r="AC730" i="1"/>
  <c r="AB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BR726" i="1"/>
  <c r="BQ726" i="1"/>
  <c r="BP726" i="1"/>
  <c r="BO726" i="1"/>
  <c r="BN726" i="1"/>
  <c r="BM726" i="1"/>
  <c r="BL726" i="1"/>
  <c r="BK726" i="1"/>
  <c r="BJ726" i="1"/>
  <c r="BI726" i="1"/>
  <c r="BH726" i="1"/>
  <c r="BG726" i="1"/>
  <c r="BF726" i="1"/>
  <c r="BE726" i="1"/>
  <c r="BD726" i="1"/>
  <c r="BC726" i="1"/>
  <c r="BB726" i="1"/>
  <c r="BA726" i="1"/>
  <c r="AZ726" i="1"/>
  <c r="AY726" i="1"/>
  <c r="AX726" i="1"/>
  <c r="AW726" i="1"/>
  <c r="AV726" i="1"/>
  <c r="AU726" i="1"/>
  <c r="AT726" i="1"/>
  <c r="AS726" i="1"/>
  <c r="AR726" i="1"/>
  <c r="AQ726" i="1"/>
  <c r="AP726" i="1"/>
  <c r="AO726" i="1"/>
  <c r="AN726" i="1"/>
  <c r="AM726" i="1"/>
  <c r="AL726" i="1"/>
  <c r="AK726" i="1"/>
  <c r="AJ726" i="1"/>
  <c r="AI726" i="1"/>
  <c r="AH726" i="1"/>
  <c r="AG726" i="1"/>
  <c r="AF726" i="1"/>
  <c r="AE726" i="1"/>
  <c r="AD726" i="1"/>
  <c r="AB726" i="1"/>
  <c r="AA726" i="1"/>
  <c r="Z726" i="1"/>
  <c r="Y726" i="1"/>
  <c r="X726" i="1"/>
  <c r="W726" i="1"/>
  <c r="V726" i="1"/>
  <c r="U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CC722" i="1"/>
  <c r="CB722" i="1"/>
  <c r="CA722" i="1"/>
  <c r="BZ722" i="1"/>
  <c r="BY722" i="1"/>
  <c r="BX722" i="1"/>
  <c r="BW722" i="1"/>
  <c r="BV722" i="1"/>
  <c r="BU722" i="1"/>
  <c r="BT722" i="1"/>
  <c r="BS722" i="1"/>
  <c r="BR722" i="1"/>
  <c r="BQ722" i="1"/>
  <c r="BP722" i="1"/>
  <c r="BO722" i="1"/>
  <c r="BN722" i="1"/>
  <c r="BM722" i="1"/>
  <c r="BL722" i="1"/>
  <c r="BK722" i="1"/>
  <c r="BJ722" i="1"/>
  <c r="BI722" i="1"/>
  <c r="BG722" i="1"/>
  <c r="BF722" i="1"/>
  <c r="BE722" i="1"/>
  <c r="BD722" i="1"/>
  <c r="BC722" i="1"/>
  <c r="BB722" i="1"/>
  <c r="BA722" i="1"/>
  <c r="AZ722" i="1"/>
  <c r="AY722" i="1"/>
  <c r="AX722" i="1"/>
  <c r="AW722" i="1"/>
  <c r="AV722" i="1"/>
  <c r="AR722" i="1"/>
  <c r="AQ722" i="1"/>
  <c r="AP722" i="1"/>
  <c r="AO722" i="1"/>
  <c r="AN722" i="1"/>
  <c r="AM722" i="1"/>
  <c r="AL722" i="1"/>
  <c r="AK722" i="1"/>
  <c r="AJ722" i="1"/>
  <c r="AI722" i="1"/>
  <c r="AH722" i="1"/>
  <c r="AG722" i="1"/>
  <c r="AF722" i="1"/>
  <c r="AE722" i="1"/>
  <c r="AD722" i="1"/>
  <c r="AC722" i="1"/>
  <c r="AB722" i="1"/>
  <c r="AA722" i="1"/>
  <c r="Z722" i="1"/>
  <c r="Y722" i="1"/>
  <c r="X722" i="1"/>
  <c r="W722" i="1"/>
  <c r="V722" i="1"/>
  <c r="U722" i="1"/>
  <c r="T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C472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E30" i="6"/>
  <c r="D30" i="6"/>
  <c r="E29" i="6"/>
  <c r="D29" i="6"/>
  <c r="E28" i="6"/>
  <c r="D28" i="6"/>
  <c r="F27" i="6"/>
  <c r="E27" i="6"/>
  <c r="D27" i="6"/>
  <c r="E26" i="6"/>
  <c r="D26" i="6"/>
  <c r="F25" i="6"/>
  <c r="E25" i="6"/>
  <c r="D25" i="6"/>
  <c r="E24" i="6"/>
  <c r="D24" i="6"/>
  <c r="E15" i="6"/>
  <c r="D15" i="6"/>
  <c r="E14" i="6"/>
  <c r="D14" i="6"/>
  <c r="F13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N766" i="1"/>
  <c r="N743" i="1"/>
  <c r="N769" i="1"/>
  <c r="N758" i="1"/>
  <c r="N753" i="1"/>
  <c r="I26" i="9"/>
  <c r="N740" i="1"/>
  <c r="F90" i="9"/>
  <c r="N751" i="1"/>
  <c r="C218" i="9"/>
  <c r="D366" i="9"/>
  <c r="G812" i="1"/>
  <c r="CE64" i="1"/>
  <c r="F612" i="1" s="1"/>
  <c r="D368" i="9"/>
  <c r="I812" i="1"/>
  <c r="C276" i="9"/>
  <c r="CE70" i="1"/>
  <c r="C458" i="1" s="1"/>
  <c r="CE76" i="1"/>
  <c r="I380" i="9" s="1"/>
  <c r="P812" i="1"/>
  <c r="CE77" i="1"/>
  <c r="G612" i="1" s="1"/>
  <c r="I29" i="9"/>
  <c r="C95" i="9"/>
  <c r="CE79" i="1"/>
  <c r="J612" i="1" s="1"/>
  <c r="S748" i="1"/>
  <c r="E142" i="1"/>
  <c r="F10" i="4" s="1"/>
  <c r="G9" i="4"/>
  <c r="F9" i="4"/>
  <c r="AC726" i="1"/>
  <c r="E138" i="1"/>
  <c r="C414" i="1" s="1"/>
  <c r="C204" i="1"/>
  <c r="D16" i="6" s="1"/>
  <c r="E195" i="1"/>
  <c r="S722" i="1"/>
  <c r="BH722" i="1"/>
  <c r="C28" i="6"/>
  <c r="B217" i="1"/>
  <c r="C32" i="6" s="1"/>
  <c r="C140" i="8"/>
  <c r="L817" i="1"/>
  <c r="CC730" i="1"/>
  <c r="D390" i="1"/>
  <c r="C141" i="8" s="1"/>
  <c r="AA730" i="1"/>
  <c r="D283" i="1"/>
  <c r="C42" i="8" s="1"/>
  <c r="C40" i="8"/>
  <c r="B753" i="1"/>
  <c r="E515" i="1"/>
  <c r="H73" i="9"/>
  <c r="E105" i="9"/>
  <c r="B757" i="1"/>
  <c r="E519" i="1"/>
  <c r="B766" i="1"/>
  <c r="E528" i="1"/>
  <c r="G137" i="9"/>
  <c r="E722" i="1"/>
  <c r="C9" i="5"/>
  <c r="D173" i="1"/>
  <c r="C14" i="5" s="1"/>
  <c r="F28" i="4"/>
  <c r="F24" i="6"/>
  <c r="CD71" i="1"/>
  <c r="E373" i="9" s="1"/>
  <c r="N765" i="1"/>
  <c r="N757" i="1"/>
  <c r="C615" i="1"/>
  <c r="B440" i="1"/>
  <c r="E372" i="9"/>
  <c r="N760" i="1" l="1"/>
  <c r="N745" i="1"/>
  <c r="C473" i="1"/>
  <c r="N778" i="1"/>
  <c r="N739" i="1"/>
  <c r="G28" i="4"/>
  <c r="AV71" i="10"/>
  <c r="B541" i="11" s="1"/>
  <c r="AY52" i="10"/>
  <c r="AY67" i="10" s="1"/>
  <c r="J782" i="10" s="1"/>
  <c r="O52" i="10"/>
  <c r="O67" i="10" s="1"/>
  <c r="BW52" i="10"/>
  <c r="BW67" i="10" s="1"/>
  <c r="J806" i="10" s="1"/>
  <c r="AX52" i="10"/>
  <c r="AX67" i="10" s="1"/>
  <c r="J781" i="10" s="1"/>
  <c r="CE62" i="10"/>
  <c r="E816" i="10" s="1"/>
  <c r="CE48" i="10"/>
  <c r="N774" i="1"/>
  <c r="N775" i="1"/>
  <c r="N761" i="1"/>
  <c r="F526" i="11"/>
  <c r="H526" i="11" s="1"/>
  <c r="B10" i="4"/>
  <c r="E19" i="4"/>
  <c r="CD722" i="1"/>
  <c r="F15" i="6"/>
  <c r="Q816" i="1"/>
  <c r="CF77" i="1"/>
  <c r="I381" i="9"/>
  <c r="N762" i="1"/>
  <c r="N737" i="1"/>
  <c r="I90" i="9"/>
  <c r="G90" i="9"/>
  <c r="D13" i="7"/>
  <c r="G10" i="4"/>
  <c r="B441" i="1"/>
  <c r="C112" i="8"/>
  <c r="B465" i="1"/>
  <c r="D368" i="1"/>
  <c r="C120" i="8" s="1"/>
  <c r="C34" i="5"/>
  <c r="D330" i="1"/>
  <c r="C86" i="8" s="1"/>
  <c r="B476" i="1"/>
  <c r="C33" i="8"/>
  <c r="D32" i="6"/>
  <c r="C470" i="1"/>
  <c r="F8" i="6"/>
  <c r="D428" i="1"/>
  <c r="N736" i="1"/>
  <c r="C575" i="1"/>
  <c r="F815" i="1"/>
  <c r="G122" i="9"/>
  <c r="M816" i="1"/>
  <c r="I372" i="9"/>
  <c r="D815" i="1"/>
  <c r="C440" i="1"/>
  <c r="I377" i="9"/>
  <c r="I370" i="9"/>
  <c r="N748" i="1"/>
  <c r="L816" i="1"/>
  <c r="H815" i="1"/>
  <c r="W48" i="1"/>
  <c r="W62" i="1" s="1"/>
  <c r="E754" i="1" s="1"/>
  <c r="N746" i="1"/>
  <c r="N747" i="1"/>
  <c r="I815" i="1"/>
  <c r="I366" i="9"/>
  <c r="C430" i="1"/>
  <c r="G816" i="1"/>
  <c r="I365" i="9"/>
  <c r="BO48" i="1"/>
  <c r="BO62" i="1" s="1"/>
  <c r="E798" i="1" s="1"/>
  <c r="I816" i="1"/>
  <c r="G815" i="1"/>
  <c r="F816" i="1"/>
  <c r="AB48" i="1"/>
  <c r="AB62" i="1" s="1"/>
  <c r="E759" i="1" s="1"/>
  <c r="AO48" i="1"/>
  <c r="AO62" i="1" s="1"/>
  <c r="E772" i="1" s="1"/>
  <c r="AF48" i="1"/>
  <c r="AF62" i="1" s="1"/>
  <c r="D140" i="9" s="1"/>
  <c r="BA48" i="1"/>
  <c r="BA62" i="1" s="1"/>
  <c r="K816" i="1"/>
  <c r="C432" i="1"/>
  <c r="BK48" i="1"/>
  <c r="BK62" i="1" s="1"/>
  <c r="P48" i="1"/>
  <c r="P62" i="1" s="1"/>
  <c r="BS48" i="1"/>
  <c r="BS62" i="1" s="1"/>
  <c r="Y48" i="1"/>
  <c r="Y62" i="1" s="1"/>
  <c r="AQ48" i="1"/>
  <c r="AQ62" i="1" s="1"/>
  <c r="E774" i="1" s="1"/>
  <c r="S48" i="1"/>
  <c r="S62" i="1" s="1"/>
  <c r="CB48" i="1"/>
  <c r="CB62" i="1" s="1"/>
  <c r="C364" i="9" s="1"/>
  <c r="BV48" i="1"/>
  <c r="BV62" i="1" s="1"/>
  <c r="BP48" i="1"/>
  <c r="BP62" i="1" s="1"/>
  <c r="BF48" i="1"/>
  <c r="BF62" i="1" s="1"/>
  <c r="E789" i="1" s="1"/>
  <c r="AZ48" i="1"/>
  <c r="AZ62" i="1" s="1"/>
  <c r="AP48" i="1"/>
  <c r="AP62" i="1" s="1"/>
  <c r="G172" i="9" s="1"/>
  <c r="AJ48" i="1"/>
  <c r="AJ62" i="1" s="1"/>
  <c r="V48" i="1"/>
  <c r="V62" i="1" s="1"/>
  <c r="E753" i="1" s="1"/>
  <c r="J48" i="1"/>
  <c r="J62" i="1" s="1"/>
  <c r="BX48" i="1"/>
  <c r="BX62" i="1" s="1"/>
  <c r="BN48" i="1"/>
  <c r="BN62" i="1" s="1"/>
  <c r="C300" i="9" s="1"/>
  <c r="BH48" i="1"/>
  <c r="BH62" i="1" s="1"/>
  <c r="AX48" i="1"/>
  <c r="AX62" i="1" s="1"/>
  <c r="H204" i="9" s="1"/>
  <c r="AR48" i="1"/>
  <c r="AR62" i="1" s="1"/>
  <c r="AH48" i="1"/>
  <c r="AH62" i="1" s="1"/>
  <c r="E765" i="1" s="1"/>
  <c r="Z48" i="1"/>
  <c r="Z62" i="1" s="1"/>
  <c r="F48" i="1"/>
  <c r="F62" i="1" s="1"/>
  <c r="F12" i="9" s="1"/>
  <c r="AS48" i="1"/>
  <c r="AS62" i="1" s="1"/>
  <c r="D816" i="1"/>
  <c r="X48" i="1"/>
  <c r="X62" i="1" s="1"/>
  <c r="L48" i="1"/>
  <c r="L62" i="1" s="1"/>
  <c r="BZ48" i="1"/>
  <c r="BZ62" i="1" s="1"/>
  <c r="AC48" i="1"/>
  <c r="AC62" i="1" s="1"/>
  <c r="H108" i="9" s="1"/>
  <c r="M48" i="1"/>
  <c r="M62" i="1" s="1"/>
  <c r="BC48" i="1"/>
  <c r="BC62" i="1" s="1"/>
  <c r="AM48" i="1"/>
  <c r="AM62" i="1" s="1"/>
  <c r="C427" i="1"/>
  <c r="AK48" i="1"/>
  <c r="AK62" i="1" s="1"/>
  <c r="E48" i="1"/>
  <c r="E62" i="1" s="1"/>
  <c r="BM48" i="1"/>
  <c r="BM62" i="1" s="1"/>
  <c r="I48" i="1"/>
  <c r="I62" i="1" s="1"/>
  <c r="BW48" i="1"/>
  <c r="BW62" i="1" s="1"/>
  <c r="E332" i="9" s="1"/>
  <c r="BG48" i="1"/>
  <c r="BG62" i="1" s="1"/>
  <c r="AI48" i="1"/>
  <c r="AI62" i="1" s="1"/>
  <c r="E766" i="1" s="1"/>
  <c r="BY48" i="1"/>
  <c r="BY62" i="1" s="1"/>
  <c r="G332" i="9" s="1"/>
  <c r="BT48" i="1"/>
  <c r="BT62" i="1" s="1"/>
  <c r="BJ48" i="1"/>
  <c r="BJ62" i="1" s="1"/>
  <c r="BD48" i="1"/>
  <c r="BD62" i="1" s="1"/>
  <c r="AT48" i="1"/>
  <c r="AT62" i="1" s="1"/>
  <c r="D204" i="9" s="1"/>
  <c r="AN48" i="1"/>
  <c r="AN62" i="1" s="1"/>
  <c r="AD48" i="1"/>
  <c r="AD62" i="1" s="1"/>
  <c r="R48" i="1"/>
  <c r="R62" i="1" s="1"/>
  <c r="I363" i="9"/>
  <c r="T48" i="1"/>
  <c r="T62" i="1" s="1"/>
  <c r="H48" i="1"/>
  <c r="H62" i="1" s="1"/>
  <c r="AU48" i="1"/>
  <c r="AU62" i="1" s="1"/>
  <c r="AE48" i="1"/>
  <c r="AE62" i="1" s="1"/>
  <c r="BQ48" i="1"/>
  <c r="BQ62" i="1" s="1"/>
  <c r="AW48" i="1"/>
  <c r="AW62" i="1" s="1"/>
  <c r="G204" i="9" s="1"/>
  <c r="AG48" i="1"/>
  <c r="AG62" i="1" s="1"/>
  <c r="Q48" i="1"/>
  <c r="Q62" i="1" s="1"/>
  <c r="AY48" i="1"/>
  <c r="AY62" i="1" s="1"/>
  <c r="E782" i="1" s="1"/>
  <c r="K48" i="1"/>
  <c r="K62" i="1" s="1"/>
  <c r="AL48" i="1"/>
  <c r="AL62" i="1" s="1"/>
  <c r="E769" i="1" s="1"/>
  <c r="CA48" i="1"/>
  <c r="CA62" i="1" s="1"/>
  <c r="CC48" i="1"/>
  <c r="CC62" i="1" s="1"/>
  <c r="E812" i="1" s="1"/>
  <c r="BE48" i="1"/>
  <c r="BE62" i="1" s="1"/>
  <c r="BI48" i="1"/>
  <c r="BI62" i="1" s="1"/>
  <c r="G48" i="1"/>
  <c r="G62" i="1" s="1"/>
  <c r="G12" i="9" s="1"/>
  <c r="N48" i="1"/>
  <c r="N62" i="1" s="1"/>
  <c r="G44" i="9" s="1"/>
  <c r="BL48" i="1"/>
  <c r="BL62" i="1" s="1"/>
  <c r="AA48" i="1"/>
  <c r="AA62" i="1" s="1"/>
  <c r="F108" i="9" s="1"/>
  <c r="BU48" i="1"/>
  <c r="BU62" i="1" s="1"/>
  <c r="O48" i="1"/>
  <c r="O62" i="1" s="1"/>
  <c r="D48" i="1"/>
  <c r="D62" i="1" s="1"/>
  <c r="E735" i="1" s="1"/>
  <c r="AV48" i="1"/>
  <c r="AV62" i="1" s="1"/>
  <c r="BR48" i="1"/>
  <c r="BR62" i="1" s="1"/>
  <c r="E801" i="1" s="1"/>
  <c r="C48" i="1"/>
  <c r="U48" i="1"/>
  <c r="U62" i="1" s="1"/>
  <c r="S815" i="1"/>
  <c r="I612" i="1"/>
  <c r="R816" i="1"/>
  <c r="R815" i="1"/>
  <c r="D612" i="1"/>
  <c r="P816" i="1"/>
  <c r="CF76" i="1"/>
  <c r="Q52" i="1" s="1"/>
  <c r="Q67" i="1" s="1"/>
  <c r="J748" i="1" s="1"/>
  <c r="P815" i="1"/>
  <c r="I362" i="9"/>
  <c r="C815" i="1"/>
  <c r="C816" i="1"/>
  <c r="BI730" i="1"/>
  <c r="Q815" i="1"/>
  <c r="J800" i="10"/>
  <c r="BQ71" i="10"/>
  <c r="B562" i="11" s="1"/>
  <c r="AT71" i="10"/>
  <c r="B539" i="11" s="1"/>
  <c r="BL71" i="10"/>
  <c r="B557" i="11" s="1"/>
  <c r="W52" i="10"/>
  <c r="W67" i="10" s="1"/>
  <c r="BG52" i="10"/>
  <c r="BG67" i="10" s="1"/>
  <c r="BK52" i="10"/>
  <c r="BK67" i="10" s="1"/>
  <c r="N52" i="10"/>
  <c r="N67" i="10" s="1"/>
  <c r="BC52" i="10"/>
  <c r="BC67" i="10" s="1"/>
  <c r="AU52" i="10"/>
  <c r="AU67" i="10" s="1"/>
  <c r="AW52" i="10"/>
  <c r="AW67" i="10" s="1"/>
  <c r="AH52" i="10"/>
  <c r="AH67" i="10" s="1"/>
  <c r="M52" i="10"/>
  <c r="M67" i="10" s="1"/>
  <c r="BY52" i="10"/>
  <c r="BY67" i="10" s="1"/>
  <c r="AJ52" i="10"/>
  <c r="AJ67" i="10" s="1"/>
  <c r="L52" i="10"/>
  <c r="L67" i="10" s="1"/>
  <c r="AM52" i="10"/>
  <c r="AM67" i="10" s="1"/>
  <c r="AZ52" i="10"/>
  <c r="AZ67" i="10" s="1"/>
  <c r="BP52" i="10"/>
  <c r="BP67" i="10" s="1"/>
  <c r="BH52" i="10"/>
  <c r="BH67" i="10" s="1"/>
  <c r="BE52" i="10"/>
  <c r="BE67" i="10" s="1"/>
  <c r="AP52" i="10"/>
  <c r="AP67" i="10" s="1"/>
  <c r="U52" i="10"/>
  <c r="U67" i="10" s="1"/>
  <c r="BR52" i="10"/>
  <c r="BR67" i="10" s="1"/>
  <c r="C713" i="10"/>
  <c r="C541" i="10"/>
  <c r="B541" i="1"/>
  <c r="C698" i="10"/>
  <c r="C526" i="10"/>
  <c r="B526" i="1"/>
  <c r="J746" i="10"/>
  <c r="O71" i="10"/>
  <c r="B508" i="11" s="1"/>
  <c r="AC71" i="10"/>
  <c r="B522" i="11" s="1"/>
  <c r="AR52" i="10"/>
  <c r="AR67" i="10" s="1"/>
  <c r="BJ52" i="10"/>
  <c r="BJ67" i="10" s="1"/>
  <c r="CA52" i="10"/>
  <c r="CA67" i="10" s="1"/>
  <c r="C52" i="10"/>
  <c r="AN52" i="10"/>
  <c r="AN67" i="10" s="1"/>
  <c r="S52" i="10"/>
  <c r="S67" i="10" s="1"/>
  <c r="I52" i="10"/>
  <c r="I67" i="10" s="1"/>
  <c r="BU52" i="10"/>
  <c r="BU67" i="10" s="1"/>
  <c r="BF52" i="10"/>
  <c r="BF67" i="10" s="1"/>
  <c r="AK52" i="10"/>
  <c r="AK67" i="10" s="1"/>
  <c r="AX71" i="10"/>
  <c r="B543" i="11" s="1"/>
  <c r="C428" i="10"/>
  <c r="AF52" i="10"/>
  <c r="AF67" i="10" s="1"/>
  <c r="BX52" i="10"/>
  <c r="BX67" i="10" s="1"/>
  <c r="AA52" i="10"/>
  <c r="AA67" i="10" s="1"/>
  <c r="AB52" i="10"/>
  <c r="AB67" i="10" s="1"/>
  <c r="D52" i="10"/>
  <c r="D67" i="10" s="1"/>
  <c r="BS52" i="10"/>
  <c r="BS67" i="10" s="1"/>
  <c r="Q52" i="10"/>
  <c r="Q67" i="10" s="1"/>
  <c r="CC52" i="10"/>
  <c r="CC67" i="10" s="1"/>
  <c r="BN52" i="10"/>
  <c r="BN67" i="10" s="1"/>
  <c r="AS52" i="10"/>
  <c r="AS67" i="10" s="1"/>
  <c r="AD71" i="10"/>
  <c r="B523" i="11" s="1"/>
  <c r="BM71" i="10"/>
  <c r="B558" i="11" s="1"/>
  <c r="BT52" i="10"/>
  <c r="BT67" i="10" s="1"/>
  <c r="F52" i="10"/>
  <c r="F67" i="10" s="1"/>
  <c r="CB52" i="10"/>
  <c r="CB67" i="10" s="1"/>
  <c r="BB52" i="10"/>
  <c r="BB67" i="10" s="1"/>
  <c r="P52" i="10"/>
  <c r="P67" i="10" s="1"/>
  <c r="T52" i="10"/>
  <c r="T67" i="10" s="1"/>
  <c r="Y52" i="10"/>
  <c r="Y67" i="10" s="1"/>
  <c r="J52" i="10"/>
  <c r="J67" i="10" s="1"/>
  <c r="BV52" i="10"/>
  <c r="BV67" i="10" s="1"/>
  <c r="BA52" i="10"/>
  <c r="BA67" i="10" s="1"/>
  <c r="BW71" i="10"/>
  <c r="B568" i="11" s="1"/>
  <c r="E815" i="10"/>
  <c r="J739" i="10"/>
  <c r="H71" i="10"/>
  <c r="B501" i="11" s="1"/>
  <c r="J787" i="10"/>
  <c r="BD71" i="10"/>
  <c r="B549" i="11" s="1"/>
  <c r="J762" i="10"/>
  <c r="AE71" i="10"/>
  <c r="B524" i="11" s="1"/>
  <c r="J798" i="10"/>
  <c r="BO71" i="10"/>
  <c r="B560" i="11" s="1"/>
  <c r="J749" i="10"/>
  <c r="R71" i="10"/>
  <c r="B511" i="11" s="1"/>
  <c r="BI52" i="10"/>
  <c r="BI67" i="10" s="1"/>
  <c r="V71" i="10"/>
  <c r="B515" i="11" s="1"/>
  <c r="BZ71" i="10"/>
  <c r="B571" i="11" s="1"/>
  <c r="K52" i="10"/>
  <c r="K67" i="10" s="1"/>
  <c r="G52" i="10"/>
  <c r="G67" i="10" s="1"/>
  <c r="X52" i="10"/>
  <c r="X67" i="10" s="1"/>
  <c r="AL52" i="10"/>
  <c r="AL67" i="10" s="1"/>
  <c r="AQ52" i="10"/>
  <c r="AQ67" i="10" s="1"/>
  <c r="AI52" i="10"/>
  <c r="AI67" i="10" s="1"/>
  <c r="AO52" i="10"/>
  <c r="AO67" i="10" s="1"/>
  <c r="Z52" i="10"/>
  <c r="Z67" i="10" s="1"/>
  <c r="E52" i="10"/>
  <c r="E67" i="10" s="1"/>
  <c r="E236" i="9"/>
  <c r="E785" i="1"/>
  <c r="B446" i="1"/>
  <c r="D242" i="1"/>
  <c r="C418" i="1"/>
  <c r="D438" i="1"/>
  <c r="F14" i="6"/>
  <c r="O815" i="1"/>
  <c r="T815" i="1"/>
  <c r="C471" i="1"/>
  <c r="F10" i="6"/>
  <c r="D339" i="1"/>
  <c r="D26" i="9"/>
  <c r="N735" i="1"/>
  <c r="CE75" i="1"/>
  <c r="F7" i="6"/>
  <c r="E204" i="1"/>
  <c r="C468" i="1"/>
  <c r="I383" i="9"/>
  <c r="S816" i="1"/>
  <c r="D22" i="7"/>
  <c r="C40" i="5"/>
  <c r="C420" i="1"/>
  <c r="B28" i="4"/>
  <c r="N772" i="1"/>
  <c r="F186" i="9"/>
  <c r="I376" i="9"/>
  <c r="C463" i="1"/>
  <c r="D58" i="9"/>
  <c r="N742" i="1"/>
  <c r="G26" i="9"/>
  <c r="N738" i="1"/>
  <c r="E217" i="1"/>
  <c r="I384" i="9"/>
  <c r="T816" i="1"/>
  <c r="L612" i="1"/>
  <c r="F218" i="9"/>
  <c r="N779" i="1"/>
  <c r="D90" i="9"/>
  <c r="N749" i="1"/>
  <c r="D464" i="1"/>
  <c r="D465" i="1" s="1"/>
  <c r="K815" i="1"/>
  <c r="H154" i="9"/>
  <c r="N767" i="1"/>
  <c r="I367" i="9"/>
  <c r="H816" i="1"/>
  <c r="M815" i="1"/>
  <c r="D434" i="1"/>
  <c r="L815" i="1"/>
  <c r="D292" i="1"/>
  <c r="C58" i="9"/>
  <c r="N741" i="1"/>
  <c r="N744" i="1"/>
  <c r="N756" i="1"/>
  <c r="N750" i="1"/>
  <c r="F511" i="11" l="1"/>
  <c r="H511" i="11" s="1"/>
  <c r="F524" i="11"/>
  <c r="H524" i="11"/>
  <c r="H501" i="11"/>
  <c r="F501" i="11"/>
  <c r="AY71" i="10"/>
  <c r="B544" i="11" s="1"/>
  <c r="F522" i="11"/>
  <c r="H522" i="11" s="1"/>
  <c r="F508" i="11"/>
  <c r="H508" i="11"/>
  <c r="H523" i="11"/>
  <c r="F523" i="11"/>
  <c r="F515" i="11"/>
  <c r="H515" i="11"/>
  <c r="H539" i="11"/>
  <c r="F539" i="11"/>
  <c r="D373" i="1"/>
  <c r="C126" i="8" s="1"/>
  <c r="E755" i="1"/>
  <c r="H76" i="9"/>
  <c r="I76" i="9"/>
  <c r="E806" i="1"/>
  <c r="F140" i="9"/>
  <c r="F44" i="9"/>
  <c r="E745" i="1"/>
  <c r="C108" i="9"/>
  <c r="I236" i="9"/>
  <c r="E793" i="1"/>
  <c r="F172" i="9"/>
  <c r="E760" i="1"/>
  <c r="E797" i="1"/>
  <c r="E777" i="1"/>
  <c r="G108" i="9"/>
  <c r="G300" i="9"/>
  <c r="D300" i="9"/>
  <c r="E738" i="1"/>
  <c r="E808" i="1"/>
  <c r="I108" i="9"/>
  <c r="I204" i="9"/>
  <c r="H44" i="9"/>
  <c r="D236" i="9"/>
  <c r="F268" i="9"/>
  <c r="D364" i="9"/>
  <c r="E746" i="1"/>
  <c r="E744" i="1"/>
  <c r="N815" i="1"/>
  <c r="E781" i="1"/>
  <c r="D332" i="9"/>
  <c r="E773" i="1"/>
  <c r="E758" i="1"/>
  <c r="E811" i="1"/>
  <c r="E763" i="1"/>
  <c r="D108" i="9"/>
  <c r="E784" i="1"/>
  <c r="E736" i="1"/>
  <c r="E12" i="9"/>
  <c r="D172" i="9"/>
  <c r="E770" i="1"/>
  <c r="C204" i="9"/>
  <c r="E776" i="1"/>
  <c r="E807" i="1"/>
  <c r="F332" i="9"/>
  <c r="E300" i="9"/>
  <c r="E799" i="1"/>
  <c r="E742" i="1"/>
  <c r="D44" i="9"/>
  <c r="E739" i="1"/>
  <c r="H12" i="9"/>
  <c r="E737" i="1"/>
  <c r="E756" i="1"/>
  <c r="C172" i="9"/>
  <c r="E805" i="1"/>
  <c r="E761" i="1"/>
  <c r="D12" i="9"/>
  <c r="E779" i="1"/>
  <c r="F204" i="9"/>
  <c r="I332" i="9"/>
  <c r="E810" i="1"/>
  <c r="E748" i="1"/>
  <c r="C76" i="9"/>
  <c r="Q71" i="1"/>
  <c r="E762" i="1"/>
  <c r="C140" i="9"/>
  <c r="E740" i="1"/>
  <c r="I12" i="9"/>
  <c r="E750" i="1"/>
  <c r="E76" i="9"/>
  <c r="E747" i="1"/>
  <c r="I44" i="9"/>
  <c r="G76" i="9"/>
  <c r="E752" i="1"/>
  <c r="E795" i="1"/>
  <c r="H268" i="9"/>
  <c r="E268" i="9"/>
  <c r="E792" i="1"/>
  <c r="E140" i="9"/>
  <c r="E764" i="1"/>
  <c r="D76" i="9"/>
  <c r="E749" i="1"/>
  <c r="G236" i="9"/>
  <c r="E787" i="1"/>
  <c r="I268" i="9"/>
  <c r="E796" i="1"/>
  <c r="H332" i="9"/>
  <c r="E809" i="1"/>
  <c r="I172" i="9"/>
  <c r="E775" i="1"/>
  <c r="H140" i="9"/>
  <c r="E767" i="1"/>
  <c r="G268" i="9"/>
  <c r="E794" i="1"/>
  <c r="E204" i="9"/>
  <c r="G140" i="9"/>
  <c r="C62" i="1"/>
  <c r="CE48" i="1"/>
  <c r="H236" i="9"/>
  <c r="E788" i="1"/>
  <c r="E780" i="1"/>
  <c r="C268" i="9"/>
  <c r="E790" i="1"/>
  <c r="F236" i="9"/>
  <c r="E786" i="1"/>
  <c r="E44" i="9"/>
  <c r="E743" i="1"/>
  <c r="H172" i="9"/>
  <c r="E778" i="1"/>
  <c r="C332" i="9"/>
  <c r="E804" i="1"/>
  <c r="F300" i="9"/>
  <c r="E800" i="1"/>
  <c r="F76" i="9"/>
  <c r="E751" i="1"/>
  <c r="E771" i="1"/>
  <c r="E172" i="9"/>
  <c r="E803" i="1"/>
  <c r="I300" i="9"/>
  <c r="E768" i="1"/>
  <c r="I140" i="9"/>
  <c r="E757" i="1"/>
  <c r="E108" i="9"/>
  <c r="E791" i="1"/>
  <c r="D268" i="9"/>
  <c r="C44" i="9"/>
  <c r="E741" i="1"/>
  <c r="E783" i="1"/>
  <c r="C236" i="9"/>
  <c r="E802" i="1"/>
  <c r="H300" i="9"/>
  <c r="AK52" i="1"/>
  <c r="AK67" i="1" s="1"/>
  <c r="J768" i="1" s="1"/>
  <c r="AW52" i="1"/>
  <c r="AW67" i="1" s="1"/>
  <c r="G209" i="9" s="1"/>
  <c r="BY52" i="1"/>
  <c r="BY67" i="1" s="1"/>
  <c r="G337" i="9" s="1"/>
  <c r="BE52" i="1"/>
  <c r="BE67" i="1" s="1"/>
  <c r="H241" i="9" s="1"/>
  <c r="AM52" i="1"/>
  <c r="AM67" i="1" s="1"/>
  <c r="D177" i="9" s="1"/>
  <c r="O52" i="1"/>
  <c r="O67" i="1" s="1"/>
  <c r="O71" i="1" s="1"/>
  <c r="C52" i="1"/>
  <c r="C67" i="1" s="1"/>
  <c r="AO52" i="1"/>
  <c r="AO67" i="1" s="1"/>
  <c r="F177" i="9" s="1"/>
  <c r="BR52" i="1"/>
  <c r="BR67" i="1" s="1"/>
  <c r="J801" i="1" s="1"/>
  <c r="M52" i="1"/>
  <c r="M67" i="1" s="1"/>
  <c r="J744" i="1" s="1"/>
  <c r="BD52" i="1"/>
  <c r="BD67" i="1" s="1"/>
  <c r="G241" i="9" s="1"/>
  <c r="AV52" i="1"/>
  <c r="AV67" i="1" s="1"/>
  <c r="AV71" i="1" s="1"/>
  <c r="AE52" i="1"/>
  <c r="AE67" i="1" s="1"/>
  <c r="AE71" i="1" s="1"/>
  <c r="BK52" i="1"/>
  <c r="BK67" i="1" s="1"/>
  <c r="G273" i="9" s="1"/>
  <c r="G52" i="1"/>
  <c r="G67" i="1" s="1"/>
  <c r="J738" i="1" s="1"/>
  <c r="D52" i="1"/>
  <c r="D67" i="1" s="1"/>
  <c r="J735" i="1" s="1"/>
  <c r="BN52" i="1"/>
  <c r="BN67" i="1" s="1"/>
  <c r="C305" i="9" s="1"/>
  <c r="BM52" i="1"/>
  <c r="BM67" i="1" s="1"/>
  <c r="J796" i="1" s="1"/>
  <c r="BQ52" i="1"/>
  <c r="BQ67" i="1" s="1"/>
  <c r="J800" i="1" s="1"/>
  <c r="AP52" i="1"/>
  <c r="AP67" i="1" s="1"/>
  <c r="J773" i="1" s="1"/>
  <c r="AI52" i="1"/>
  <c r="AI67" i="1" s="1"/>
  <c r="J766" i="1" s="1"/>
  <c r="AH52" i="1"/>
  <c r="AH67" i="1" s="1"/>
  <c r="AH71" i="1" s="1"/>
  <c r="C699" i="1" s="1"/>
  <c r="N52" i="1"/>
  <c r="N67" i="1" s="1"/>
  <c r="J745" i="1" s="1"/>
  <c r="J52" i="1"/>
  <c r="J67" i="1" s="1"/>
  <c r="J71" i="1" s="1"/>
  <c r="W52" i="1"/>
  <c r="W67" i="1" s="1"/>
  <c r="I81" i="9" s="1"/>
  <c r="L52" i="1"/>
  <c r="L67" i="1" s="1"/>
  <c r="L71" i="1" s="1"/>
  <c r="AA52" i="1"/>
  <c r="AA67" i="1" s="1"/>
  <c r="F113" i="9" s="1"/>
  <c r="CB52" i="1"/>
  <c r="CB67" i="1" s="1"/>
  <c r="C369" i="9" s="1"/>
  <c r="F52" i="1"/>
  <c r="F67" i="1" s="1"/>
  <c r="J737" i="1" s="1"/>
  <c r="CA52" i="1"/>
  <c r="CA67" i="1" s="1"/>
  <c r="J810" i="1" s="1"/>
  <c r="BG52" i="1"/>
  <c r="BG67" i="1" s="1"/>
  <c r="C273" i="9" s="1"/>
  <c r="AX52" i="1"/>
  <c r="AX67" i="1" s="1"/>
  <c r="J781" i="1" s="1"/>
  <c r="BV52" i="1"/>
  <c r="BV67" i="1" s="1"/>
  <c r="J805" i="1" s="1"/>
  <c r="T52" i="1"/>
  <c r="T67" i="1" s="1"/>
  <c r="J751" i="1" s="1"/>
  <c r="AY52" i="1"/>
  <c r="AY67" i="1" s="1"/>
  <c r="J782" i="1" s="1"/>
  <c r="BF52" i="1"/>
  <c r="BF67" i="1" s="1"/>
  <c r="J789" i="1" s="1"/>
  <c r="H52" i="1"/>
  <c r="H67" i="1" s="1"/>
  <c r="J739" i="1" s="1"/>
  <c r="U52" i="1"/>
  <c r="U67" i="1" s="1"/>
  <c r="U71" i="1" s="1"/>
  <c r="BH52" i="1"/>
  <c r="BH67" i="1" s="1"/>
  <c r="BH71" i="1" s="1"/>
  <c r="C81" i="9"/>
  <c r="J754" i="1"/>
  <c r="BC52" i="1"/>
  <c r="BC67" i="1" s="1"/>
  <c r="BC71" i="1" s="1"/>
  <c r="BZ52" i="1"/>
  <c r="BZ67" i="1" s="1"/>
  <c r="BZ71" i="1" s="1"/>
  <c r="AL52" i="1"/>
  <c r="AL67" i="1" s="1"/>
  <c r="AL71" i="1" s="1"/>
  <c r="C531" i="1" s="1"/>
  <c r="G531" i="1" s="1"/>
  <c r="BJ52" i="1"/>
  <c r="BJ67" i="1" s="1"/>
  <c r="BJ71" i="1" s="1"/>
  <c r="BT52" i="1"/>
  <c r="BT67" i="1" s="1"/>
  <c r="BT71" i="1" s="1"/>
  <c r="AG52" i="1"/>
  <c r="AG67" i="1" s="1"/>
  <c r="AG71" i="1" s="1"/>
  <c r="BP52" i="1"/>
  <c r="BP67" i="1" s="1"/>
  <c r="BP71" i="1" s="1"/>
  <c r="BO52" i="1"/>
  <c r="BO67" i="1" s="1"/>
  <c r="BO71" i="1" s="1"/>
  <c r="C560" i="1" s="1"/>
  <c r="AR52" i="1"/>
  <c r="AR67" i="1" s="1"/>
  <c r="AR71" i="1" s="1"/>
  <c r="BA52" i="1"/>
  <c r="BA67" i="1" s="1"/>
  <c r="BA71" i="1" s="1"/>
  <c r="BW52" i="1"/>
  <c r="BW67" i="1" s="1"/>
  <c r="BW71" i="1" s="1"/>
  <c r="E341" i="9" s="1"/>
  <c r="BS52" i="1"/>
  <c r="BS67" i="1" s="1"/>
  <c r="BS71" i="1" s="1"/>
  <c r="AB52" i="1"/>
  <c r="AB67" i="1" s="1"/>
  <c r="AB71" i="1" s="1"/>
  <c r="C521" i="1" s="1"/>
  <c r="G521" i="1" s="1"/>
  <c r="K52" i="1"/>
  <c r="K67" i="1" s="1"/>
  <c r="K71" i="1" s="1"/>
  <c r="AT52" i="1"/>
  <c r="AT67" i="1" s="1"/>
  <c r="AT71" i="1" s="1"/>
  <c r="C711" i="1" s="1"/>
  <c r="R52" i="1"/>
  <c r="R67" i="1" s="1"/>
  <c r="R71" i="1" s="1"/>
  <c r="Z52" i="1"/>
  <c r="Z67" i="1" s="1"/>
  <c r="Z71" i="1" s="1"/>
  <c r="CC52" i="1"/>
  <c r="CC67" i="1" s="1"/>
  <c r="CC71" i="1" s="1"/>
  <c r="C620" i="1" s="1"/>
  <c r="AZ52" i="1"/>
  <c r="AZ67" i="1" s="1"/>
  <c r="AZ71" i="1" s="1"/>
  <c r="Y52" i="1"/>
  <c r="Y67" i="1" s="1"/>
  <c r="Y71" i="1" s="1"/>
  <c r="AS52" i="1"/>
  <c r="AS67" i="1" s="1"/>
  <c r="AS71" i="1" s="1"/>
  <c r="AQ52" i="1"/>
  <c r="AQ67" i="1" s="1"/>
  <c r="AQ71" i="1" s="1"/>
  <c r="H181" i="9" s="1"/>
  <c r="X52" i="1"/>
  <c r="X67" i="1" s="1"/>
  <c r="X71" i="1" s="1"/>
  <c r="BX52" i="1"/>
  <c r="BX67" i="1" s="1"/>
  <c r="BX71" i="1" s="1"/>
  <c r="AD52" i="1"/>
  <c r="AD67" i="1" s="1"/>
  <c r="AD71" i="1" s="1"/>
  <c r="AF52" i="1"/>
  <c r="AF67" i="1" s="1"/>
  <c r="AF71" i="1" s="1"/>
  <c r="AC52" i="1"/>
  <c r="AC67" i="1" s="1"/>
  <c r="AC71" i="1" s="1"/>
  <c r="C694" i="1" s="1"/>
  <c r="BI52" i="1"/>
  <c r="BI67" i="1" s="1"/>
  <c r="BI71" i="1" s="1"/>
  <c r="BL52" i="1"/>
  <c r="BL67" i="1" s="1"/>
  <c r="BL71" i="1" s="1"/>
  <c r="AU52" i="1"/>
  <c r="AU67" i="1" s="1"/>
  <c r="AU71" i="1" s="1"/>
  <c r="C540" i="1" s="1"/>
  <c r="G540" i="1" s="1"/>
  <c r="BB52" i="1"/>
  <c r="BB67" i="1" s="1"/>
  <c r="BB71" i="1" s="1"/>
  <c r="C632" i="1" s="1"/>
  <c r="S52" i="1"/>
  <c r="S67" i="1" s="1"/>
  <c r="S71" i="1" s="1"/>
  <c r="P52" i="1"/>
  <c r="P67" i="1" s="1"/>
  <c r="P71" i="1" s="1"/>
  <c r="E52" i="1"/>
  <c r="E67" i="1" s="1"/>
  <c r="E71" i="1" s="1"/>
  <c r="BU52" i="1"/>
  <c r="BU67" i="1" s="1"/>
  <c r="BU71" i="1" s="1"/>
  <c r="G145" i="9"/>
  <c r="V52" i="1"/>
  <c r="V67" i="1" s="1"/>
  <c r="V71" i="1" s="1"/>
  <c r="C515" i="1" s="1"/>
  <c r="G515" i="1" s="1"/>
  <c r="I52" i="1"/>
  <c r="I67" i="1" s="1"/>
  <c r="I71" i="1" s="1"/>
  <c r="AJ52" i="1"/>
  <c r="AJ67" i="1" s="1"/>
  <c r="AJ71" i="1" s="1"/>
  <c r="AN52" i="1"/>
  <c r="AN67" i="1" s="1"/>
  <c r="AN71" i="1" s="1"/>
  <c r="C511" i="10"/>
  <c r="C683" i="10"/>
  <c r="B511" i="1"/>
  <c r="J751" i="10"/>
  <c r="T71" i="10"/>
  <c r="B513" i="11" s="1"/>
  <c r="J789" i="10"/>
  <c r="BF71" i="10"/>
  <c r="B551" i="11" s="1"/>
  <c r="J783" i="10"/>
  <c r="AZ71" i="10"/>
  <c r="B545" i="11" s="1"/>
  <c r="C562" i="10"/>
  <c r="C623" i="10"/>
  <c r="B562" i="1"/>
  <c r="J747" i="10"/>
  <c r="P71" i="10"/>
  <c r="B509" i="11" s="1"/>
  <c r="J804" i="10"/>
  <c r="BU71" i="10"/>
  <c r="B566" i="11" s="1"/>
  <c r="J786" i="10"/>
  <c r="BC71" i="10"/>
  <c r="B548" i="11" s="1"/>
  <c r="J755" i="10"/>
  <c r="X71" i="10"/>
  <c r="B517" i="11" s="1"/>
  <c r="C627" i="10"/>
  <c r="C560" i="10"/>
  <c r="B560" i="1"/>
  <c r="J785" i="10"/>
  <c r="BB71" i="10"/>
  <c r="B547" i="11" s="1"/>
  <c r="J797" i="10"/>
  <c r="BN71" i="10"/>
  <c r="B559" i="11" s="1"/>
  <c r="J763" i="10"/>
  <c r="AF71" i="10"/>
  <c r="B525" i="11" s="1"/>
  <c r="J740" i="10"/>
  <c r="I71" i="10"/>
  <c r="B502" i="11" s="1"/>
  <c r="C680" i="10"/>
  <c r="C508" i="10"/>
  <c r="B508" i="1"/>
  <c r="J801" i="10"/>
  <c r="BR71" i="10"/>
  <c r="B563" i="11" s="1"/>
  <c r="J743" i="10"/>
  <c r="L71" i="10"/>
  <c r="B505" i="11" s="1"/>
  <c r="J745" i="10"/>
  <c r="N71" i="10"/>
  <c r="B507" i="11" s="1"/>
  <c r="J774" i="10"/>
  <c r="AQ71" i="10"/>
  <c r="B536" i="11" s="1"/>
  <c r="C673" i="10"/>
  <c r="C501" i="10"/>
  <c r="G501" i="10" s="1"/>
  <c r="B501" i="1"/>
  <c r="C544" i="10"/>
  <c r="C625" i="10"/>
  <c r="B544" i="1"/>
  <c r="J758" i="10"/>
  <c r="AA71" i="10"/>
  <c r="B520" i="11" s="1"/>
  <c r="J775" i="10"/>
  <c r="AR71" i="10"/>
  <c r="B537" i="11" s="1"/>
  <c r="J778" i="10"/>
  <c r="AU71" i="10"/>
  <c r="B540" i="11" s="1"/>
  <c r="J769" i="10"/>
  <c r="AL71" i="10"/>
  <c r="B531" i="11" s="1"/>
  <c r="J776" i="10"/>
  <c r="AS71" i="10"/>
  <c r="B538" i="11" s="1"/>
  <c r="J807" i="10"/>
  <c r="BX71" i="10"/>
  <c r="B569" i="11" s="1"/>
  <c r="C694" i="10"/>
  <c r="C522" i="10"/>
  <c r="B522" i="1"/>
  <c r="J770" i="10"/>
  <c r="AM71" i="10"/>
  <c r="B532" i="11" s="1"/>
  <c r="J738" i="10"/>
  <c r="G71" i="10"/>
  <c r="B500" i="11" s="1"/>
  <c r="C643" i="10"/>
  <c r="C568" i="10"/>
  <c r="B568" i="1"/>
  <c r="J811" i="10"/>
  <c r="CB71" i="10"/>
  <c r="B573" i="11" s="1"/>
  <c r="J812" i="10"/>
  <c r="CC71" i="10"/>
  <c r="B574" i="11" s="1"/>
  <c r="J750" i="10"/>
  <c r="S71" i="10"/>
  <c r="B512" i="11" s="1"/>
  <c r="J752" i="10"/>
  <c r="U71" i="10"/>
  <c r="B514" i="11" s="1"/>
  <c r="J767" i="10"/>
  <c r="AJ71" i="10"/>
  <c r="B529" i="11" s="1"/>
  <c r="J794" i="10"/>
  <c r="BK71" i="10"/>
  <c r="B556" i="11" s="1"/>
  <c r="J742" i="10"/>
  <c r="K71" i="10"/>
  <c r="B504" i="11" s="1"/>
  <c r="C696" i="10"/>
  <c r="C524" i="10"/>
  <c r="B524" i="1"/>
  <c r="F524" i="1" s="1"/>
  <c r="J748" i="10"/>
  <c r="Q71" i="10"/>
  <c r="B510" i="11" s="1"/>
  <c r="J773" i="10"/>
  <c r="AP71" i="10"/>
  <c r="B535" i="11" s="1"/>
  <c r="J790" i="10"/>
  <c r="BG71" i="10"/>
  <c r="B552" i="11" s="1"/>
  <c r="J757" i="10"/>
  <c r="Z71" i="10"/>
  <c r="B519" i="11" s="1"/>
  <c r="C646" i="10"/>
  <c r="C571" i="10"/>
  <c r="B571" i="1"/>
  <c r="J803" i="10"/>
  <c r="BT71" i="10"/>
  <c r="B565" i="11" s="1"/>
  <c r="CE52" i="10"/>
  <c r="C67" i="10"/>
  <c r="J744" i="10"/>
  <c r="M71" i="10"/>
  <c r="B506" i="11" s="1"/>
  <c r="J772" i="10"/>
  <c r="AO71" i="10"/>
  <c r="B534" i="11" s="1"/>
  <c r="C687" i="10"/>
  <c r="C515" i="10"/>
  <c r="B515" i="1"/>
  <c r="C549" i="10"/>
  <c r="C624" i="10"/>
  <c r="B549" i="1"/>
  <c r="J741" i="10"/>
  <c r="J71" i="10"/>
  <c r="B503" i="11" s="1"/>
  <c r="C558" i="10"/>
  <c r="C638" i="10"/>
  <c r="B558" i="1"/>
  <c r="J735" i="10"/>
  <c r="D71" i="10"/>
  <c r="B497" i="11" s="1"/>
  <c r="C543" i="10"/>
  <c r="C616" i="10"/>
  <c r="B543" i="1"/>
  <c r="J810" i="10"/>
  <c r="CA71" i="10"/>
  <c r="B572" i="11" s="1"/>
  <c r="J791" i="10"/>
  <c r="BH71" i="10"/>
  <c r="B553" i="11" s="1"/>
  <c r="J765" i="10"/>
  <c r="AH71" i="10"/>
  <c r="B527" i="11" s="1"/>
  <c r="C637" i="10"/>
  <c r="C557" i="10"/>
  <c r="B557" i="1"/>
  <c r="J736" i="10"/>
  <c r="E71" i="10"/>
  <c r="B498" i="11" s="1"/>
  <c r="J784" i="10"/>
  <c r="BA71" i="10"/>
  <c r="B546" i="11" s="1"/>
  <c r="J737" i="10"/>
  <c r="F71" i="10"/>
  <c r="B499" i="11" s="1"/>
  <c r="J771" i="10"/>
  <c r="AN71" i="10"/>
  <c r="B533" i="11" s="1"/>
  <c r="J808" i="10"/>
  <c r="BY71" i="10"/>
  <c r="B570" i="11" s="1"/>
  <c r="J805" i="10"/>
  <c r="BV71" i="10"/>
  <c r="B567" i="11" s="1"/>
  <c r="J802" i="10"/>
  <c r="BS71" i="10"/>
  <c r="B564" i="11" s="1"/>
  <c r="G526" i="10"/>
  <c r="H526" i="10"/>
  <c r="J788" i="10"/>
  <c r="BE71" i="10"/>
  <c r="B550" i="11" s="1"/>
  <c r="J754" i="10"/>
  <c r="W71" i="10"/>
  <c r="B516" i="11" s="1"/>
  <c r="J766" i="10"/>
  <c r="AI71" i="10"/>
  <c r="B528" i="11" s="1"/>
  <c r="J792" i="10"/>
  <c r="BI71" i="10"/>
  <c r="B554" i="11" s="1"/>
  <c r="J756" i="10"/>
  <c r="Y71" i="10"/>
  <c r="B518" i="11" s="1"/>
  <c r="C695" i="10"/>
  <c r="C523" i="10"/>
  <c r="G523" i="10" s="1"/>
  <c r="B523" i="1"/>
  <c r="J759" i="10"/>
  <c r="AB71" i="10"/>
  <c r="B521" i="11" s="1"/>
  <c r="J768" i="10"/>
  <c r="AK71" i="10"/>
  <c r="B530" i="11" s="1"/>
  <c r="J793" i="10"/>
  <c r="BJ71" i="10"/>
  <c r="B555" i="11" s="1"/>
  <c r="J799" i="10"/>
  <c r="BP71" i="10"/>
  <c r="B561" i="11" s="1"/>
  <c r="J780" i="10"/>
  <c r="AW71" i="10"/>
  <c r="B542" i="11" s="1"/>
  <c r="C711" i="10"/>
  <c r="C539" i="10"/>
  <c r="G539" i="10" s="1"/>
  <c r="B539" i="1"/>
  <c r="D27" i="7"/>
  <c r="B448" i="1"/>
  <c r="F544" i="1"/>
  <c r="D341" i="1"/>
  <c r="C481" i="1" s="1"/>
  <c r="C50" i="8"/>
  <c r="I378" i="9"/>
  <c r="K612" i="1"/>
  <c r="C465" i="1"/>
  <c r="N816" i="1"/>
  <c r="F32" i="6"/>
  <c r="C478" i="1"/>
  <c r="C102" i="8"/>
  <c r="C482" i="1"/>
  <c r="C476" i="1"/>
  <c r="F16" i="6"/>
  <c r="F514" i="11" l="1"/>
  <c r="H514" i="11" s="1"/>
  <c r="H538" i="11"/>
  <c r="F538" i="11"/>
  <c r="H540" i="11"/>
  <c r="F540" i="11"/>
  <c r="H520" i="11"/>
  <c r="F520" i="11"/>
  <c r="H536" i="11"/>
  <c r="F536" i="11"/>
  <c r="F505" i="11"/>
  <c r="H505" i="11"/>
  <c r="F509" i="11"/>
  <c r="H509" i="11"/>
  <c r="F544" i="11"/>
  <c r="H544" i="11"/>
  <c r="F516" i="11"/>
  <c r="H516" i="11"/>
  <c r="F546" i="11"/>
  <c r="H546" i="11"/>
  <c r="H497" i="11"/>
  <c r="F497" i="11"/>
  <c r="F519" i="11"/>
  <c r="H519" i="11"/>
  <c r="H500" i="11"/>
  <c r="F500" i="11"/>
  <c r="F502" i="11"/>
  <c r="H502" i="11"/>
  <c r="F521" i="11"/>
  <c r="H521" i="11"/>
  <c r="H534" i="11"/>
  <c r="F534" i="11"/>
  <c r="F518" i="11"/>
  <c r="H518" i="11"/>
  <c r="H528" i="11"/>
  <c r="F528" i="11"/>
  <c r="F550" i="11"/>
  <c r="H550" i="11"/>
  <c r="F499" i="11"/>
  <c r="H499" i="11"/>
  <c r="F498" i="11"/>
  <c r="H498" i="11"/>
  <c r="F510" i="11"/>
  <c r="H510" i="11"/>
  <c r="F532" i="11"/>
  <c r="H532" i="11"/>
  <c r="H525" i="11"/>
  <c r="F525" i="11"/>
  <c r="H545" i="11"/>
  <c r="F545" i="11"/>
  <c r="H513" i="11"/>
  <c r="F513" i="11"/>
  <c r="H533" i="11"/>
  <c r="F533" i="11"/>
  <c r="F535" i="11"/>
  <c r="H535" i="11"/>
  <c r="F503" i="11"/>
  <c r="H503" i="11"/>
  <c r="H530" i="11"/>
  <c r="F530" i="11"/>
  <c r="H527" i="11"/>
  <c r="F527" i="11"/>
  <c r="F506" i="11"/>
  <c r="H506" i="11"/>
  <c r="H504" i="11"/>
  <c r="F504" i="11"/>
  <c r="H529" i="11"/>
  <c r="F529" i="11"/>
  <c r="F512" i="11"/>
  <c r="H512" i="11"/>
  <c r="F531" i="11"/>
  <c r="H531" i="11"/>
  <c r="H537" i="11"/>
  <c r="F537" i="11"/>
  <c r="H507" i="11"/>
  <c r="F507" i="11"/>
  <c r="H517" i="11"/>
  <c r="F517" i="11"/>
  <c r="D391" i="1"/>
  <c r="C142" i="8" s="1"/>
  <c r="AK71" i="1"/>
  <c r="C530" i="1" s="1"/>
  <c r="G530" i="1" s="1"/>
  <c r="BN71" i="1"/>
  <c r="C559" i="1" s="1"/>
  <c r="C687" i="1"/>
  <c r="AM71" i="1"/>
  <c r="C532" i="1" s="1"/>
  <c r="G532" i="1" s="1"/>
  <c r="C547" i="1"/>
  <c r="H85" i="9"/>
  <c r="C523" i="1"/>
  <c r="G523" i="1" s="1"/>
  <c r="C695" i="1"/>
  <c r="I117" i="9"/>
  <c r="D245" i="9"/>
  <c r="C630" i="1"/>
  <c r="C546" i="1"/>
  <c r="G546" i="1" s="1"/>
  <c r="F277" i="9"/>
  <c r="C617" i="1"/>
  <c r="C117" i="9"/>
  <c r="C517" i="1"/>
  <c r="G517" i="1" s="1"/>
  <c r="C689" i="1"/>
  <c r="T71" i="1"/>
  <c r="F85" i="9" s="1"/>
  <c r="AX71" i="1"/>
  <c r="C616" i="1" s="1"/>
  <c r="W71" i="1"/>
  <c r="I85" i="9" s="1"/>
  <c r="BQ71" i="1"/>
  <c r="F309" i="9" s="1"/>
  <c r="AW71" i="1"/>
  <c r="G213" i="9" s="1"/>
  <c r="E213" i="9"/>
  <c r="BM71" i="1"/>
  <c r="I277" i="9" s="1"/>
  <c r="CA71" i="1"/>
  <c r="C572" i="1" s="1"/>
  <c r="AI71" i="1"/>
  <c r="C528" i="1" s="1"/>
  <c r="G528" i="1" s="1"/>
  <c r="H71" i="1"/>
  <c r="E245" i="9"/>
  <c r="G71" i="1"/>
  <c r="G21" i="9" s="1"/>
  <c r="CB71" i="1"/>
  <c r="C573" i="1" s="1"/>
  <c r="AO71" i="1"/>
  <c r="C534" i="1" s="1"/>
  <c r="G534" i="1" s="1"/>
  <c r="C712" i="1"/>
  <c r="AA71" i="1"/>
  <c r="F117" i="9" s="1"/>
  <c r="M71" i="1"/>
  <c r="BK71" i="1"/>
  <c r="C635" i="1" s="1"/>
  <c r="BD71" i="1"/>
  <c r="C549" i="1" s="1"/>
  <c r="D71" i="1"/>
  <c r="C497" i="1" s="1"/>
  <c r="G497" i="1" s="1"/>
  <c r="F71" i="1"/>
  <c r="F21" i="9" s="1"/>
  <c r="N71" i="1"/>
  <c r="C679" i="1" s="1"/>
  <c r="BY71" i="1"/>
  <c r="G341" i="9" s="1"/>
  <c r="BR71" i="1"/>
  <c r="C563" i="1" s="1"/>
  <c r="BV71" i="1"/>
  <c r="C555" i="1"/>
  <c r="BF71" i="1"/>
  <c r="I245" i="9" s="1"/>
  <c r="BE71" i="1"/>
  <c r="C550" i="1" s="1"/>
  <c r="G550" i="1" s="1"/>
  <c r="AY71" i="1"/>
  <c r="I213" i="9" s="1"/>
  <c r="AP71" i="1"/>
  <c r="G181" i="9" s="1"/>
  <c r="C518" i="1"/>
  <c r="G518" i="1" s="1"/>
  <c r="D117" i="9"/>
  <c r="C690" i="1"/>
  <c r="H53" i="9"/>
  <c r="C680" i="1"/>
  <c r="C508" i="1"/>
  <c r="G508" i="1" s="1"/>
  <c r="C498" i="1"/>
  <c r="G498" i="1" s="1"/>
  <c r="C670" i="1"/>
  <c r="E21" i="9"/>
  <c r="BG71" i="1"/>
  <c r="C618" i="1" s="1"/>
  <c r="C309" i="9"/>
  <c r="C643" i="1"/>
  <c r="C527" i="1"/>
  <c r="G527" i="1" s="1"/>
  <c r="C693" i="1"/>
  <c r="C568" i="1"/>
  <c r="C708" i="1"/>
  <c r="C522" i="1"/>
  <c r="G522" i="1" s="1"/>
  <c r="F149" i="9"/>
  <c r="C627" i="1"/>
  <c r="C181" i="9"/>
  <c r="D373" i="9"/>
  <c r="C574" i="1"/>
  <c r="H117" i="9"/>
  <c r="D213" i="9"/>
  <c r="G117" i="9"/>
  <c r="C539" i="1"/>
  <c r="G539" i="1" s="1"/>
  <c r="D309" i="9"/>
  <c r="C525" i="1"/>
  <c r="G525" i="1" s="1"/>
  <c r="D149" i="9"/>
  <c r="C697" i="1"/>
  <c r="C703" i="1"/>
  <c r="C628" i="1"/>
  <c r="C545" i="1"/>
  <c r="G545" i="1" s="1"/>
  <c r="C245" i="9"/>
  <c r="C640" i="1"/>
  <c r="C565" i="1"/>
  <c r="I309" i="9"/>
  <c r="C709" i="1"/>
  <c r="I181" i="9"/>
  <c r="C537" i="1"/>
  <c r="G537" i="1" s="1"/>
  <c r="C511" i="1"/>
  <c r="G511" i="1" s="1"/>
  <c r="D85" i="9"/>
  <c r="C683" i="1"/>
  <c r="C536" i="1"/>
  <c r="G536" i="1" s="1"/>
  <c r="C553" i="1"/>
  <c r="D277" i="9"/>
  <c r="C636" i="1"/>
  <c r="C519" i="1"/>
  <c r="G519" i="1" s="1"/>
  <c r="E117" i="9"/>
  <c r="C691" i="1"/>
  <c r="C641" i="1"/>
  <c r="C566" i="1"/>
  <c r="C341" i="9"/>
  <c r="C571" i="1"/>
  <c r="C646" i="1"/>
  <c r="H341" i="9"/>
  <c r="C698" i="1"/>
  <c r="E149" i="9"/>
  <c r="C526" i="1"/>
  <c r="I53" i="9"/>
  <c r="C681" i="1"/>
  <c r="C509" i="1"/>
  <c r="G509" i="1" s="1"/>
  <c r="E85" i="9"/>
  <c r="C684" i="1"/>
  <c r="C512" i="1"/>
  <c r="G512" i="1" s="1"/>
  <c r="C674" i="1"/>
  <c r="I21" i="9"/>
  <c r="C502" i="1"/>
  <c r="G502" i="1" s="1"/>
  <c r="C682" i="1"/>
  <c r="C85" i="9"/>
  <c r="C510" i="1"/>
  <c r="G510" i="1" s="1"/>
  <c r="D53" i="9"/>
  <c r="C676" i="1"/>
  <c r="C504" i="1"/>
  <c r="G504" i="1" s="1"/>
  <c r="E309" i="9"/>
  <c r="C621" i="1"/>
  <c r="C561" i="1"/>
  <c r="C12" i="9"/>
  <c r="C71" i="1"/>
  <c r="E734" i="1"/>
  <c r="E815" i="1" s="1"/>
  <c r="CE62" i="1"/>
  <c r="C524" i="1"/>
  <c r="C696" i="1"/>
  <c r="C149" i="9"/>
  <c r="C569" i="1"/>
  <c r="F341" i="9"/>
  <c r="C644" i="1"/>
  <c r="C53" i="9"/>
  <c r="C503" i="1"/>
  <c r="G503" i="1" s="1"/>
  <c r="C675" i="1"/>
  <c r="C633" i="1"/>
  <c r="F245" i="9"/>
  <c r="C548" i="1"/>
  <c r="G85" i="9"/>
  <c r="C686" i="1"/>
  <c r="C514" i="1"/>
  <c r="G514" i="1" s="1"/>
  <c r="C639" i="1"/>
  <c r="C564" i="1"/>
  <c r="H309" i="9"/>
  <c r="C705" i="1"/>
  <c r="C533" i="1"/>
  <c r="G533" i="1" s="1"/>
  <c r="E181" i="9"/>
  <c r="C677" i="1"/>
  <c r="C505" i="1"/>
  <c r="G505" i="1" s="1"/>
  <c r="E53" i="9"/>
  <c r="H149" i="9"/>
  <c r="C529" i="1"/>
  <c r="G529" i="1" s="1"/>
  <c r="C701" i="1"/>
  <c r="E277" i="9"/>
  <c r="C634" i="1"/>
  <c r="C554" i="1"/>
  <c r="C557" i="1"/>
  <c r="C637" i="1"/>
  <c r="H277" i="9"/>
  <c r="F213" i="9"/>
  <c r="C541" i="1"/>
  <c r="C713" i="1"/>
  <c r="C710" i="1"/>
  <c r="C213" i="9"/>
  <c r="C538" i="1"/>
  <c r="G538" i="1" s="1"/>
  <c r="D181" i="9"/>
  <c r="I145" i="9"/>
  <c r="D337" i="9"/>
  <c r="J788" i="1"/>
  <c r="G305" i="9"/>
  <c r="J770" i="1"/>
  <c r="J780" i="1"/>
  <c r="F17" i="9"/>
  <c r="D17" i="9"/>
  <c r="J808" i="1"/>
  <c r="J797" i="1"/>
  <c r="I241" i="9"/>
  <c r="J758" i="1"/>
  <c r="I209" i="9"/>
  <c r="G17" i="9"/>
  <c r="J787" i="1"/>
  <c r="F49" i="9"/>
  <c r="J790" i="1"/>
  <c r="H209" i="9"/>
  <c r="J811" i="1"/>
  <c r="F305" i="9"/>
  <c r="J772" i="1"/>
  <c r="G49" i="9"/>
  <c r="I273" i="9"/>
  <c r="I337" i="9"/>
  <c r="J794" i="1"/>
  <c r="F81" i="9"/>
  <c r="J741" i="1"/>
  <c r="C49" i="9"/>
  <c r="J779" i="1"/>
  <c r="F209" i="9"/>
  <c r="H17" i="9"/>
  <c r="C145" i="9"/>
  <c r="J762" i="1"/>
  <c r="CE67" i="1"/>
  <c r="J816" i="1" s="1"/>
  <c r="G177" i="9"/>
  <c r="D273" i="9"/>
  <c r="J791" i="1"/>
  <c r="J734" i="1"/>
  <c r="C17" i="9"/>
  <c r="G81" i="9"/>
  <c r="J752" i="1"/>
  <c r="E49" i="9"/>
  <c r="J743" i="1"/>
  <c r="F145" i="9"/>
  <c r="J765" i="1"/>
  <c r="J746" i="1"/>
  <c r="H49" i="9"/>
  <c r="H145" i="9"/>
  <c r="J767" i="1"/>
  <c r="D145" i="9"/>
  <c r="J763" i="1"/>
  <c r="J812" i="1"/>
  <c r="D369" i="9"/>
  <c r="J784" i="1"/>
  <c r="D241" i="9"/>
  <c r="I113" i="9"/>
  <c r="J761" i="1"/>
  <c r="J786" i="1"/>
  <c r="F241" i="9"/>
  <c r="J778" i="1"/>
  <c r="E209" i="9"/>
  <c r="H177" i="9"/>
  <c r="J774" i="1"/>
  <c r="J742" i="1"/>
  <c r="D49" i="9"/>
  <c r="E145" i="9"/>
  <c r="J764" i="1"/>
  <c r="CE52" i="1"/>
  <c r="J740" i="1"/>
  <c r="I17" i="9"/>
  <c r="I49" i="9"/>
  <c r="J747" i="1"/>
  <c r="J795" i="1"/>
  <c r="H273" i="9"/>
  <c r="C209" i="9"/>
  <c r="J776" i="1"/>
  <c r="E113" i="9"/>
  <c r="J757" i="1"/>
  <c r="J759" i="1"/>
  <c r="G113" i="9"/>
  <c r="I177" i="9"/>
  <c r="J775" i="1"/>
  <c r="J803" i="1"/>
  <c r="I305" i="9"/>
  <c r="J753" i="1"/>
  <c r="H81" i="9"/>
  <c r="J750" i="1"/>
  <c r="E81" i="9"/>
  <c r="E273" i="9"/>
  <c r="J792" i="1"/>
  <c r="J807" i="1"/>
  <c r="F337" i="9"/>
  <c r="D113" i="9"/>
  <c r="J756" i="1"/>
  <c r="D81" i="9"/>
  <c r="J749" i="1"/>
  <c r="J802" i="1"/>
  <c r="H305" i="9"/>
  <c r="J798" i="1"/>
  <c r="D305" i="9"/>
  <c r="J793" i="1"/>
  <c r="F273" i="9"/>
  <c r="J736" i="1"/>
  <c r="E17" i="9"/>
  <c r="H337" i="9"/>
  <c r="J809" i="1"/>
  <c r="J771" i="1"/>
  <c r="E177" i="9"/>
  <c r="J804" i="1"/>
  <c r="C337" i="9"/>
  <c r="E241" i="9"/>
  <c r="J785" i="1"/>
  <c r="J760" i="1"/>
  <c r="H113" i="9"/>
  <c r="J755" i="1"/>
  <c r="C113" i="9"/>
  <c r="J783" i="1"/>
  <c r="C241" i="9"/>
  <c r="D209" i="9"/>
  <c r="J777" i="1"/>
  <c r="J806" i="1"/>
  <c r="E337" i="9"/>
  <c r="E305" i="9"/>
  <c r="J799" i="1"/>
  <c r="J769" i="1"/>
  <c r="C177" i="9"/>
  <c r="C632" i="10"/>
  <c r="C547" i="10"/>
  <c r="B547" i="1"/>
  <c r="C688" i="10"/>
  <c r="C516" i="10"/>
  <c r="G516" i="10" s="1"/>
  <c r="B516" i="1"/>
  <c r="C642" i="10"/>
  <c r="C567" i="10"/>
  <c r="B567" i="1"/>
  <c r="C699" i="10"/>
  <c r="C527" i="10"/>
  <c r="G527" i="10" s="1"/>
  <c r="B527" i="1"/>
  <c r="C678" i="10"/>
  <c r="C506" i="10"/>
  <c r="G506" i="10" s="1"/>
  <c r="B506" i="1"/>
  <c r="F506" i="1" s="1"/>
  <c r="C701" i="10"/>
  <c r="C529" i="10"/>
  <c r="G529" i="10" s="1"/>
  <c r="B529" i="1"/>
  <c r="C573" i="10"/>
  <c r="C622" i="10"/>
  <c r="B573" i="1"/>
  <c r="C703" i="10"/>
  <c r="C531" i="10"/>
  <c r="G531" i="10" s="1"/>
  <c r="B531" i="1"/>
  <c r="C679" i="10"/>
  <c r="C507" i="10"/>
  <c r="G507" i="10" s="1"/>
  <c r="B507" i="1"/>
  <c r="F507" i="1" s="1"/>
  <c r="C566" i="10"/>
  <c r="C641" i="10"/>
  <c r="B566" i="1"/>
  <c r="C704" i="10"/>
  <c r="C532" i="10"/>
  <c r="G532" i="10" s="1"/>
  <c r="B532" i="1"/>
  <c r="G511" i="10"/>
  <c r="H511" i="10"/>
  <c r="C617" i="10"/>
  <c r="C555" i="10"/>
  <c r="B555" i="1"/>
  <c r="C630" i="10"/>
  <c r="C546" i="10"/>
  <c r="B546" i="1"/>
  <c r="F546" i="1" s="1"/>
  <c r="C669" i="10"/>
  <c r="C497" i="10"/>
  <c r="G497" i="10" s="1"/>
  <c r="B497" i="1"/>
  <c r="C691" i="10"/>
  <c r="C519" i="10"/>
  <c r="G519" i="10" s="1"/>
  <c r="B519" i="1"/>
  <c r="C674" i="10"/>
  <c r="C502" i="10"/>
  <c r="G502" i="10" s="1"/>
  <c r="B502" i="1"/>
  <c r="C629" i="10"/>
  <c r="C551" i="10"/>
  <c r="B551" i="1"/>
  <c r="C621" i="10"/>
  <c r="C561" i="10"/>
  <c r="B561" i="1"/>
  <c r="C671" i="10"/>
  <c r="C499" i="10"/>
  <c r="G499" i="10" s="1"/>
  <c r="B499" i="1"/>
  <c r="C682" i="10"/>
  <c r="C510" i="10"/>
  <c r="B510" i="1"/>
  <c r="F510" i="1" s="1"/>
  <c r="G508" i="10"/>
  <c r="H508" i="10" s="1"/>
  <c r="C628" i="10"/>
  <c r="C545" i="10"/>
  <c r="B545" i="1"/>
  <c r="C690" i="10"/>
  <c r="C518" i="10"/>
  <c r="B518" i="1"/>
  <c r="C614" i="10"/>
  <c r="C550" i="10"/>
  <c r="B550" i="1"/>
  <c r="C570" i="10"/>
  <c r="C645" i="10"/>
  <c r="B570" i="1"/>
  <c r="C636" i="10"/>
  <c r="C553" i="10"/>
  <c r="B553" i="1"/>
  <c r="J734" i="10"/>
  <c r="J815" i="10" s="1"/>
  <c r="CE67" i="10"/>
  <c r="C71" i="10"/>
  <c r="B496" i="11" s="1"/>
  <c r="G524" i="10"/>
  <c r="H524" i="10"/>
  <c r="C686" i="10"/>
  <c r="C514" i="10"/>
  <c r="B514" i="1"/>
  <c r="G522" i="10"/>
  <c r="H522" i="10" s="1"/>
  <c r="C712" i="10"/>
  <c r="C540" i="10"/>
  <c r="G540" i="10" s="1"/>
  <c r="B540" i="1"/>
  <c r="G544" i="10"/>
  <c r="H544" i="10" s="1"/>
  <c r="C677" i="10"/>
  <c r="C505" i="10"/>
  <c r="B505" i="1"/>
  <c r="C681" i="10"/>
  <c r="C509" i="10"/>
  <c r="B509" i="1"/>
  <c r="F509" i="1" s="1"/>
  <c r="C702" i="10"/>
  <c r="C530" i="10"/>
  <c r="G530" i="10" s="1"/>
  <c r="B530" i="1"/>
  <c r="F515" i="1"/>
  <c r="H515" i="1"/>
  <c r="C572" i="10"/>
  <c r="C647" i="10"/>
  <c r="B572" i="1"/>
  <c r="G515" i="10"/>
  <c r="H515" i="10"/>
  <c r="C565" i="10"/>
  <c r="C640" i="10"/>
  <c r="B565" i="1"/>
  <c r="C676" i="10"/>
  <c r="C504" i="10"/>
  <c r="G504" i="10" s="1"/>
  <c r="B504" i="1"/>
  <c r="H504" i="1" s="1"/>
  <c r="C684" i="10"/>
  <c r="C512" i="10"/>
  <c r="B512" i="1"/>
  <c r="C644" i="10"/>
  <c r="C569" i="10"/>
  <c r="B569" i="1"/>
  <c r="C709" i="10"/>
  <c r="C537" i="10"/>
  <c r="G537" i="10" s="1"/>
  <c r="B537" i="1"/>
  <c r="C626" i="10"/>
  <c r="C563" i="10"/>
  <c r="B563" i="1"/>
  <c r="C689" i="10"/>
  <c r="C517" i="10"/>
  <c r="G517" i="10" s="1"/>
  <c r="B517" i="1"/>
  <c r="C554" i="10"/>
  <c r="C634" i="10"/>
  <c r="B554" i="1"/>
  <c r="C631" i="10"/>
  <c r="C542" i="10"/>
  <c r="B542" i="1"/>
  <c r="C693" i="10"/>
  <c r="C521" i="10"/>
  <c r="B521" i="1"/>
  <c r="C707" i="10"/>
  <c r="C535" i="10"/>
  <c r="B535" i="1"/>
  <c r="C672" i="10"/>
  <c r="C500" i="10"/>
  <c r="G500" i="10" s="1"/>
  <c r="B500" i="1"/>
  <c r="C619" i="10"/>
  <c r="C559" i="10"/>
  <c r="B559" i="1"/>
  <c r="F511" i="1"/>
  <c r="C670" i="10"/>
  <c r="C498" i="10"/>
  <c r="B498" i="1"/>
  <c r="C552" i="10"/>
  <c r="C618" i="10"/>
  <c r="B552" i="1"/>
  <c r="H501" i="1"/>
  <c r="F501" i="1"/>
  <c r="C697" i="10"/>
  <c r="C525" i="10"/>
  <c r="G525" i="10" s="1"/>
  <c r="B525" i="1"/>
  <c r="C685" i="10"/>
  <c r="C513" i="10"/>
  <c r="G513" i="10" s="1"/>
  <c r="B513" i="1"/>
  <c r="F513" i="1" s="1"/>
  <c r="C705" i="10"/>
  <c r="C533" i="10"/>
  <c r="G533" i="10" s="1"/>
  <c r="B533" i="1"/>
  <c r="C700" i="10"/>
  <c r="C528" i="10"/>
  <c r="G528" i="10" s="1"/>
  <c r="B528" i="1"/>
  <c r="C639" i="10"/>
  <c r="C564" i="10"/>
  <c r="B564" i="1"/>
  <c r="C675" i="10"/>
  <c r="C503" i="10"/>
  <c r="B503" i="1"/>
  <c r="F503" i="1" s="1"/>
  <c r="C706" i="10"/>
  <c r="C534" i="10"/>
  <c r="G534" i="10" s="1"/>
  <c r="B534" i="1"/>
  <c r="H534" i="1" s="1"/>
  <c r="C635" i="10"/>
  <c r="C556" i="10"/>
  <c r="B556" i="1"/>
  <c r="C574" i="10"/>
  <c r="C620" i="10"/>
  <c r="B574" i="1"/>
  <c r="C538" i="10"/>
  <c r="G538" i="10" s="1"/>
  <c r="C710" i="10"/>
  <c r="B538" i="1"/>
  <c r="H538" i="1" s="1"/>
  <c r="C520" i="10"/>
  <c r="G520" i="10" s="1"/>
  <c r="C692" i="10"/>
  <c r="B520" i="1"/>
  <c r="C708" i="10"/>
  <c r="C536" i="10"/>
  <c r="G536" i="10" s="1"/>
  <c r="B536" i="1"/>
  <c r="C548" i="10"/>
  <c r="C633" i="10"/>
  <c r="B548" i="1"/>
  <c r="F522" i="1"/>
  <c r="H513" i="1"/>
  <c r="F538" i="1"/>
  <c r="F534" i="1"/>
  <c r="H502" i="1"/>
  <c r="F502" i="1"/>
  <c r="H530" i="1"/>
  <c r="F530" i="1"/>
  <c r="F512" i="1"/>
  <c r="F526" i="1"/>
  <c r="F508" i="1"/>
  <c r="F514" i="1"/>
  <c r="H507" i="1"/>
  <c r="H500" i="1"/>
  <c r="F500" i="1"/>
  <c r="H506" i="1" l="1"/>
  <c r="H496" i="11"/>
  <c r="F496" i="11"/>
  <c r="D393" i="1"/>
  <c r="C146" i="8" s="1"/>
  <c r="C702" i="1"/>
  <c r="C692" i="1"/>
  <c r="C520" i="1"/>
  <c r="G520" i="1" s="1"/>
  <c r="C558" i="1"/>
  <c r="C704" i="1"/>
  <c r="C638" i="1"/>
  <c r="C619" i="1"/>
  <c r="I149" i="9"/>
  <c r="H518" i="1"/>
  <c r="C624" i="1"/>
  <c r="C513" i="1"/>
  <c r="G513" i="1" s="1"/>
  <c r="C685" i="1"/>
  <c r="G53" i="9"/>
  <c r="G149" i="9"/>
  <c r="C507" i="1"/>
  <c r="G507" i="1" s="1"/>
  <c r="G245" i="9"/>
  <c r="H546" i="1"/>
  <c r="C700" i="1"/>
  <c r="H213" i="9"/>
  <c r="C516" i="1"/>
  <c r="G516" i="1" s="1"/>
  <c r="G277" i="9"/>
  <c r="C629" i="1"/>
  <c r="H511" i="1"/>
  <c r="C556" i="1"/>
  <c r="C543" i="1"/>
  <c r="C688" i="1"/>
  <c r="H508" i="1"/>
  <c r="C647" i="1"/>
  <c r="I341" i="9"/>
  <c r="G309" i="9"/>
  <c r="C551" i="1"/>
  <c r="C623" i="1"/>
  <c r="C669" i="1"/>
  <c r="C570" i="1"/>
  <c r="C562" i="1"/>
  <c r="D21" i="9"/>
  <c r="C645" i="1"/>
  <c r="C500" i="1"/>
  <c r="G500" i="1" s="1"/>
  <c r="C672" i="1"/>
  <c r="C544" i="1"/>
  <c r="G544" i="1" s="1"/>
  <c r="C622" i="1"/>
  <c r="C542" i="1"/>
  <c r="C499" i="1"/>
  <c r="G499" i="1" s="1"/>
  <c r="C631" i="1"/>
  <c r="C671" i="1"/>
  <c r="C626" i="1"/>
  <c r="C673" i="1"/>
  <c r="H21" i="9"/>
  <c r="C501" i="1"/>
  <c r="G501" i="1" s="1"/>
  <c r="F53" i="9"/>
  <c r="C678" i="1"/>
  <c r="C506" i="1"/>
  <c r="G506" i="1" s="1"/>
  <c r="C373" i="9"/>
  <c r="C625" i="1"/>
  <c r="F181" i="9"/>
  <c r="C706" i="1"/>
  <c r="C642" i="1"/>
  <c r="D341" i="9"/>
  <c r="C567" i="1"/>
  <c r="H245" i="9"/>
  <c r="C614" i="1"/>
  <c r="D615" i="1" s="1"/>
  <c r="C707" i="1"/>
  <c r="C535" i="1"/>
  <c r="G535" i="1" s="1"/>
  <c r="C277" i="9"/>
  <c r="C552" i="1"/>
  <c r="H503" i="1"/>
  <c r="H522" i="1"/>
  <c r="H512" i="1"/>
  <c r="H509" i="1"/>
  <c r="G526" i="1"/>
  <c r="H526" i="1" s="1"/>
  <c r="H514" i="1"/>
  <c r="C496" i="1"/>
  <c r="G496" i="1" s="1"/>
  <c r="C21" i="9"/>
  <c r="C668" i="1"/>
  <c r="G524" i="1"/>
  <c r="H524" i="1" s="1"/>
  <c r="I364" i="9"/>
  <c r="C428" i="1"/>
  <c r="E816" i="1"/>
  <c r="CE71" i="1"/>
  <c r="C433" i="1"/>
  <c r="I369" i="9"/>
  <c r="J815" i="1"/>
  <c r="F518" i="1"/>
  <c r="F504" i="1"/>
  <c r="F536" i="1"/>
  <c r="H536" i="1"/>
  <c r="H528" i="1"/>
  <c r="F528" i="1"/>
  <c r="G521" i="10"/>
  <c r="H521" i="10"/>
  <c r="H517" i="1"/>
  <c r="F517" i="1"/>
  <c r="G509" i="10"/>
  <c r="H509" i="10" s="1"/>
  <c r="H499" i="1"/>
  <c r="F499" i="1"/>
  <c r="G505" i="10"/>
  <c r="H505" i="10" s="1"/>
  <c r="H510" i="1"/>
  <c r="F498" i="1"/>
  <c r="H498" i="1" s="1"/>
  <c r="C668" i="10"/>
  <c r="C496" i="10"/>
  <c r="B496" i="1"/>
  <c r="G545" i="10"/>
  <c r="H545" i="10"/>
  <c r="F516" i="1"/>
  <c r="H516" i="1"/>
  <c r="F540" i="1"/>
  <c r="H540" i="1"/>
  <c r="G498" i="10"/>
  <c r="H498" i="10" s="1"/>
  <c r="H505" i="1"/>
  <c r="F505" i="1"/>
  <c r="J816" i="10"/>
  <c r="C433" i="10"/>
  <c r="C441" i="10" s="1"/>
  <c r="CE71" i="10"/>
  <c r="C716" i="10" s="1"/>
  <c r="H550" i="1"/>
  <c r="F550" i="1"/>
  <c r="F497" i="1"/>
  <c r="H497" i="1"/>
  <c r="G503" i="10"/>
  <c r="H503" i="10" s="1"/>
  <c r="G550" i="10"/>
  <c r="H550" i="10" s="1"/>
  <c r="C715" i="10"/>
  <c r="C648" i="10"/>
  <c r="M716" i="10" s="1"/>
  <c r="Y816" i="10" s="1"/>
  <c r="D615" i="10"/>
  <c r="F520" i="1"/>
  <c r="H520" i="1"/>
  <c r="G535" i="10"/>
  <c r="H535" i="10" s="1"/>
  <c r="G512" i="10"/>
  <c r="H512" i="10"/>
  <c r="G514" i="10"/>
  <c r="H514" i="10"/>
  <c r="F532" i="1"/>
  <c r="H532" i="1"/>
  <c r="G518" i="10"/>
  <c r="H518" i="10"/>
  <c r="G510" i="10"/>
  <c r="H510" i="10" s="1"/>
  <c r="H546" i="10"/>
  <c r="G546" i="10"/>
  <c r="H545" i="1"/>
  <c r="F545" i="1"/>
  <c r="H525" i="1"/>
  <c r="F525" i="1"/>
  <c r="H529" i="1"/>
  <c r="F529" i="1"/>
  <c r="F521" i="1"/>
  <c r="H521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D396" i="1" l="1"/>
  <c r="C151" i="8" s="1"/>
  <c r="H544" i="1"/>
  <c r="H535" i="1"/>
  <c r="C715" i="1"/>
  <c r="C648" i="1"/>
  <c r="M716" i="1" s="1"/>
  <c r="Y816" i="1" s="1"/>
  <c r="C441" i="1"/>
  <c r="C716" i="1"/>
  <c r="I373" i="9"/>
  <c r="D684" i="1"/>
  <c r="D681" i="1"/>
  <c r="D706" i="1"/>
  <c r="D644" i="1"/>
  <c r="D619" i="1"/>
  <c r="D631" i="1"/>
  <c r="D682" i="1"/>
  <c r="D686" i="1"/>
  <c r="D692" i="1"/>
  <c r="D693" i="1"/>
  <c r="D646" i="1"/>
  <c r="D672" i="1"/>
  <c r="D678" i="1"/>
  <c r="D621" i="1"/>
  <c r="D670" i="1"/>
  <c r="D638" i="1"/>
  <c r="D671" i="1"/>
  <c r="D698" i="1"/>
  <c r="D702" i="1"/>
  <c r="D709" i="1"/>
  <c r="D674" i="1"/>
  <c r="D695" i="1"/>
  <c r="D668" i="1"/>
  <c r="D711" i="1"/>
  <c r="D680" i="1"/>
  <c r="D705" i="1"/>
  <c r="D630" i="1"/>
  <c r="D623" i="1"/>
  <c r="D687" i="1"/>
  <c r="D679" i="1"/>
  <c r="D633" i="1"/>
  <c r="D701" i="1"/>
  <c r="D640" i="1"/>
  <c r="D673" i="1"/>
  <c r="D669" i="1"/>
  <c r="D629" i="1"/>
  <c r="D635" i="1"/>
  <c r="D694" i="1"/>
  <c r="D707" i="1"/>
  <c r="D685" i="1"/>
  <c r="D617" i="1"/>
  <c r="D625" i="1"/>
  <c r="D639" i="1"/>
  <c r="D700" i="1"/>
  <c r="D688" i="1"/>
  <c r="D689" i="1"/>
  <c r="D691" i="1"/>
  <c r="D713" i="1"/>
  <c r="D716" i="1"/>
  <c r="D643" i="1"/>
  <c r="D704" i="1"/>
  <c r="D675" i="1"/>
  <c r="D641" i="1"/>
  <c r="D677" i="1"/>
  <c r="D620" i="1"/>
  <c r="D636" i="1"/>
  <c r="D642" i="1"/>
  <c r="D624" i="1"/>
  <c r="D676" i="1"/>
  <c r="D699" i="1"/>
  <c r="D712" i="1"/>
  <c r="D703" i="1"/>
  <c r="D647" i="1"/>
  <c r="D690" i="1"/>
  <c r="D628" i="1"/>
  <c r="D683" i="1"/>
  <c r="D645" i="1"/>
  <c r="D622" i="1"/>
  <c r="D708" i="1"/>
  <c r="D627" i="1"/>
  <c r="D634" i="1"/>
  <c r="D637" i="1"/>
  <c r="D697" i="1"/>
  <c r="D710" i="1"/>
  <c r="D696" i="1"/>
  <c r="D616" i="1"/>
  <c r="D618" i="1"/>
  <c r="D626" i="1"/>
  <c r="D632" i="1"/>
  <c r="H496" i="1"/>
  <c r="F496" i="1"/>
  <c r="H496" i="10"/>
  <c r="G496" i="10"/>
  <c r="D712" i="10"/>
  <c r="D704" i="10"/>
  <c r="D696" i="10"/>
  <c r="D688" i="10"/>
  <c r="D708" i="10"/>
  <c r="D700" i="10"/>
  <c r="D692" i="10"/>
  <c r="D710" i="10"/>
  <c r="D702" i="10"/>
  <c r="D694" i="10"/>
  <c r="D716" i="10"/>
  <c r="D701" i="10"/>
  <c r="D685" i="10"/>
  <c r="D677" i="10"/>
  <c r="D709" i="10"/>
  <c r="D682" i="10"/>
  <c r="D674" i="10"/>
  <c r="D623" i="10"/>
  <c r="D619" i="10"/>
  <c r="D711" i="10"/>
  <c r="D697" i="10"/>
  <c r="D690" i="10"/>
  <c r="D681" i="10"/>
  <c r="D705" i="10"/>
  <c r="D698" i="10"/>
  <c r="D691" i="10"/>
  <c r="D686" i="10"/>
  <c r="D678" i="10"/>
  <c r="D670" i="10"/>
  <c r="D647" i="10"/>
  <c r="D646" i="10"/>
  <c r="D645" i="10"/>
  <c r="D695" i="10"/>
  <c r="D679" i="10"/>
  <c r="D632" i="10"/>
  <c r="D621" i="10"/>
  <c r="D676" i="10"/>
  <c r="D644" i="10"/>
  <c r="D640" i="10"/>
  <c r="D633" i="10"/>
  <c r="D628" i="10"/>
  <c r="D616" i="10"/>
  <c r="D636" i="10"/>
  <c r="D629" i="10"/>
  <c r="D703" i="10"/>
  <c r="D689" i="10"/>
  <c r="D687" i="10"/>
  <c r="D684" i="10"/>
  <c r="D642" i="10"/>
  <c r="D637" i="10"/>
  <c r="D618" i="10"/>
  <c r="D713" i="10"/>
  <c r="D699" i="10"/>
  <c r="D683" i="10"/>
  <c r="D634" i="10"/>
  <c r="D626" i="10"/>
  <c r="D620" i="10"/>
  <c r="D672" i="10"/>
  <c r="D638" i="10"/>
  <c r="D625" i="10"/>
  <c r="D707" i="10"/>
  <c r="D693" i="10"/>
  <c r="D668" i="10"/>
  <c r="D643" i="10"/>
  <c r="D631" i="10"/>
  <c r="D617" i="10"/>
  <c r="D706" i="10"/>
  <c r="D624" i="10"/>
  <c r="D675" i="10"/>
  <c r="D673" i="10"/>
  <c r="D671" i="10"/>
  <c r="D630" i="10"/>
  <c r="D627" i="10"/>
  <c r="D622" i="10"/>
  <c r="D669" i="10"/>
  <c r="D639" i="10"/>
  <c r="D635" i="10"/>
  <c r="D641" i="10"/>
  <c r="D680" i="10"/>
  <c r="E623" i="1" l="1"/>
  <c r="D715" i="1"/>
  <c r="E612" i="1"/>
  <c r="E612" i="10"/>
  <c r="D715" i="10"/>
  <c r="E623" i="10"/>
  <c r="E697" i="1" l="1"/>
  <c r="E631" i="1"/>
  <c r="E645" i="1"/>
  <c r="E678" i="1"/>
  <c r="E630" i="1"/>
  <c r="E701" i="1"/>
  <c r="E711" i="1"/>
  <c r="E642" i="1"/>
  <c r="E643" i="1"/>
  <c r="E624" i="1"/>
  <c r="E627" i="1"/>
  <c r="E712" i="1"/>
  <c r="E640" i="1"/>
  <c r="E707" i="1"/>
  <c r="E635" i="1"/>
  <c r="E646" i="1"/>
  <c r="E684" i="1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708" i="1"/>
  <c r="E690" i="1"/>
  <c r="E682" i="1"/>
  <c r="E634" i="1"/>
  <c r="E685" i="1"/>
  <c r="E674" i="1"/>
  <c r="E638" i="1"/>
  <c r="E706" i="1"/>
  <c r="E704" i="1"/>
  <c r="E689" i="1"/>
  <c r="E637" i="1"/>
  <c r="E632" i="1"/>
  <c r="E677" i="1"/>
  <c r="E709" i="1"/>
  <c r="E693" i="1"/>
  <c r="E673" i="1"/>
  <c r="E679" i="1"/>
  <c r="E628" i="1"/>
  <c r="E629" i="1"/>
  <c r="E694" i="1"/>
  <c r="E695" i="1"/>
  <c r="E703" i="1"/>
  <c r="E692" i="1"/>
  <c r="E639" i="1"/>
  <c r="E644" i="1"/>
  <c r="E625" i="1"/>
  <c r="E672" i="1"/>
  <c r="E699" i="1"/>
  <c r="E676" i="1"/>
  <c r="E700" i="1"/>
  <c r="E680" i="1"/>
  <c r="E633" i="1"/>
  <c r="E716" i="1"/>
  <c r="E636" i="1"/>
  <c r="E668" i="1"/>
  <c r="E670" i="1"/>
  <c r="E709" i="10"/>
  <c r="E701" i="10"/>
  <c r="E693" i="10"/>
  <c r="E713" i="10"/>
  <c r="E705" i="10"/>
  <c r="E697" i="10"/>
  <c r="E689" i="10"/>
  <c r="E716" i="10"/>
  <c r="E707" i="10"/>
  <c r="E699" i="10"/>
  <c r="E691" i="10"/>
  <c r="E708" i="10"/>
  <c r="E694" i="10"/>
  <c r="E682" i="10"/>
  <c r="E702" i="10"/>
  <c r="E695" i="10"/>
  <c r="E679" i="10"/>
  <c r="E671" i="10"/>
  <c r="E625" i="10"/>
  <c r="E712" i="10"/>
  <c r="E698" i="10"/>
  <c r="E686" i="10"/>
  <c r="E678" i="10"/>
  <c r="E706" i="10"/>
  <c r="E683" i="10"/>
  <c r="E675" i="10"/>
  <c r="E644" i="10"/>
  <c r="E643" i="10"/>
  <c r="E642" i="10"/>
  <c r="E641" i="10"/>
  <c r="E640" i="10"/>
  <c r="E639" i="10"/>
  <c r="E688" i="10"/>
  <c r="E676" i="10"/>
  <c r="E633" i="10"/>
  <c r="E628" i="10"/>
  <c r="E711" i="10"/>
  <c r="E704" i="10"/>
  <c r="E690" i="10"/>
  <c r="E634" i="10"/>
  <c r="E626" i="10"/>
  <c r="E624" i="10"/>
  <c r="E710" i="10"/>
  <c r="E703" i="10"/>
  <c r="E696" i="10"/>
  <c r="E687" i="10"/>
  <c r="E684" i="10"/>
  <c r="E646" i="10"/>
  <c r="E637" i="10"/>
  <c r="E681" i="10"/>
  <c r="E674" i="10"/>
  <c r="E673" i="10"/>
  <c r="E672" i="10"/>
  <c r="E638" i="10"/>
  <c r="E630" i="10"/>
  <c r="E627" i="10"/>
  <c r="E680" i="10"/>
  <c r="E670" i="10"/>
  <c r="E668" i="10"/>
  <c r="E631" i="10"/>
  <c r="E685" i="10"/>
  <c r="E692" i="10"/>
  <c r="E645" i="10"/>
  <c r="E635" i="10"/>
  <c r="E669" i="10"/>
  <c r="E647" i="10"/>
  <c r="E700" i="10"/>
  <c r="E632" i="10"/>
  <c r="E677" i="10"/>
  <c r="E629" i="10"/>
  <c r="E636" i="10"/>
  <c r="E715" i="1" l="1"/>
  <c r="F624" i="1"/>
  <c r="E715" i="10"/>
  <c r="F624" i="10"/>
  <c r="F641" i="1" l="1"/>
  <c r="F689" i="1"/>
  <c r="F695" i="1"/>
  <c r="F671" i="1"/>
  <c r="F669" i="1"/>
  <c r="F702" i="1"/>
  <c r="F673" i="1"/>
  <c r="F704" i="1"/>
  <c r="F644" i="1"/>
  <c r="F678" i="1"/>
  <c r="F697" i="1"/>
  <c r="F645" i="1"/>
  <c r="F712" i="1"/>
  <c r="F701" i="1"/>
  <c r="F643" i="1"/>
  <c r="F642" i="1"/>
  <c r="F713" i="1"/>
  <c r="F631" i="1"/>
  <c r="F640" i="1"/>
  <c r="F646" i="1"/>
  <c r="F628" i="1"/>
  <c r="F675" i="1"/>
  <c r="F683" i="1"/>
  <c r="F674" i="1"/>
  <c r="F635" i="1"/>
  <c r="F639" i="1"/>
  <c r="F696" i="1"/>
  <c r="F668" i="1"/>
  <c r="F636" i="1"/>
  <c r="F637" i="1"/>
  <c r="F632" i="1"/>
  <c r="F707" i="1"/>
  <c r="F698" i="1"/>
  <c r="F711" i="1"/>
  <c r="F692" i="1"/>
  <c r="F685" i="1"/>
  <c r="F677" i="1"/>
  <c r="F690" i="1"/>
  <c r="F705" i="1"/>
  <c r="F699" i="1"/>
  <c r="F676" i="1"/>
  <c r="F706" i="1"/>
  <c r="F688" i="1"/>
  <c r="F680" i="1"/>
  <c r="F682" i="1"/>
  <c r="F700" i="1"/>
  <c r="F630" i="1"/>
  <c r="F693" i="1"/>
  <c r="F684" i="1"/>
  <c r="F629" i="1"/>
  <c r="F710" i="1"/>
  <c r="F672" i="1"/>
  <c r="F633" i="1"/>
  <c r="F709" i="1"/>
  <c r="F716" i="1"/>
  <c r="F686" i="1"/>
  <c r="F691" i="1"/>
  <c r="F708" i="1"/>
  <c r="F687" i="1"/>
  <c r="F626" i="1"/>
  <c r="F694" i="1"/>
  <c r="F703" i="1"/>
  <c r="F681" i="1"/>
  <c r="F634" i="1"/>
  <c r="F627" i="1"/>
  <c r="F679" i="1"/>
  <c r="F670" i="1"/>
  <c r="F647" i="1"/>
  <c r="F638" i="1"/>
  <c r="F625" i="1"/>
  <c r="F706" i="10"/>
  <c r="F698" i="10"/>
  <c r="F690" i="10"/>
  <c r="F710" i="10"/>
  <c r="F702" i="10"/>
  <c r="F694" i="10"/>
  <c r="F712" i="10"/>
  <c r="F704" i="10"/>
  <c r="F696" i="10"/>
  <c r="F709" i="10"/>
  <c r="F695" i="10"/>
  <c r="F679" i="10"/>
  <c r="F703" i="10"/>
  <c r="F688" i="10"/>
  <c r="F687" i="10"/>
  <c r="F684" i="10"/>
  <c r="F676" i="10"/>
  <c r="F668" i="10"/>
  <c r="F628" i="10"/>
  <c r="F705" i="10"/>
  <c r="F691" i="10"/>
  <c r="F683" i="10"/>
  <c r="F675" i="10"/>
  <c r="F713" i="10"/>
  <c r="F699" i="10"/>
  <c r="F692" i="10"/>
  <c r="F680" i="10"/>
  <c r="F672" i="10"/>
  <c r="F711" i="10"/>
  <c r="F644" i="10"/>
  <c r="F640" i="10"/>
  <c r="F634" i="10"/>
  <c r="F626" i="10"/>
  <c r="F697" i="10"/>
  <c r="F686" i="10"/>
  <c r="F645" i="10"/>
  <c r="F635" i="10"/>
  <c r="F689" i="10"/>
  <c r="F681" i="10"/>
  <c r="F674" i="10"/>
  <c r="F673" i="10"/>
  <c r="F642" i="10"/>
  <c r="F638" i="10"/>
  <c r="F630" i="10"/>
  <c r="F627" i="10"/>
  <c r="F678" i="10"/>
  <c r="F671" i="10"/>
  <c r="F670" i="10"/>
  <c r="F669" i="10"/>
  <c r="F647" i="10"/>
  <c r="F631" i="10"/>
  <c r="F625" i="10"/>
  <c r="F677" i="10"/>
  <c r="F641" i="10"/>
  <c r="F636" i="10"/>
  <c r="F629" i="10"/>
  <c r="F707" i="10"/>
  <c r="F693" i="10"/>
  <c r="F685" i="10"/>
  <c r="F643" i="10"/>
  <c r="F682" i="10"/>
  <c r="F633" i="10"/>
  <c r="F700" i="10"/>
  <c r="F639" i="10"/>
  <c r="F632" i="10"/>
  <c r="F637" i="10"/>
  <c r="F646" i="10"/>
  <c r="F701" i="10"/>
  <c r="F716" i="10"/>
  <c r="F708" i="10"/>
  <c r="F715" i="1" l="1"/>
  <c r="G625" i="1"/>
  <c r="F715" i="10"/>
  <c r="G625" i="10"/>
  <c r="G647" i="1" l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712" i="1"/>
  <c r="G642" i="1"/>
  <c r="G693" i="1"/>
  <c r="G630" i="1"/>
  <c r="G691" i="1"/>
  <c r="G673" i="1"/>
  <c r="G692" i="1"/>
  <c r="G677" i="1"/>
  <c r="G683" i="1"/>
  <c r="G701" i="1"/>
  <c r="G628" i="1"/>
  <c r="G696" i="1"/>
  <c r="G705" i="1"/>
  <c r="G681" i="1"/>
  <c r="G707" i="1"/>
  <c r="G676" i="1"/>
  <c r="G709" i="1"/>
  <c r="G639" i="1"/>
  <c r="G687" i="1"/>
  <c r="G700" i="1"/>
  <c r="G682" i="1"/>
  <c r="G694" i="1"/>
  <c r="G672" i="1"/>
  <c r="G679" i="1"/>
  <c r="G680" i="1"/>
  <c r="G670" i="1"/>
  <c r="G698" i="1"/>
  <c r="G631" i="1"/>
  <c r="G703" i="1"/>
  <c r="G627" i="1"/>
  <c r="G674" i="1"/>
  <c r="G632" i="1"/>
  <c r="G686" i="1"/>
  <c r="G671" i="1"/>
  <c r="G629" i="1"/>
  <c r="G711" i="10"/>
  <c r="G703" i="10"/>
  <c r="G695" i="10"/>
  <c r="G687" i="10"/>
  <c r="G716" i="10"/>
  <c r="G707" i="10"/>
  <c r="G699" i="10"/>
  <c r="G691" i="10"/>
  <c r="G709" i="10"/>
  <c r="G701" i="10"/>
  <c r="G693" i="10"/>
  <c r="G702" i="10"/>
  <c r="G688" i="10"/>
  <c r="G684" i="10"/>
  <c r="G676" i="10"/>
  <c r="G710" i="10"/>
  <c r="G696" i="10"/>
  <c r="G689" i="10"/>
  <c r="G681" i="10"/>
  <c r="G673" i="10"/>
  <c r="G713" i="10"/>
  <c r="G706" i="10"/>
  <c r="G692" i="10"/>
  <c r="G680" i="10"/>
  <c r="G700" i="10"/>
  <c r="G685" i="10"/>
  <c r="G677" i="10"/>
  <c r="G669" i="10"/>
  <c r="G704" i="10"/>
  <c r="G697" i="10"/>
  <c r="G690" i="10"/>
  <c r="G686" i="10"/>
  <c r="G645" i="10"/>
  <c r="G635" i="10"/>
  <c r="G683" i="10"/>
  <c r="G641" i="10"/>
  <c r="G636" i="10"/>
  <c r="G629" i="10"/>
  <c r="G678" i="10"/>
  <c r="G672" i="10"/>
  <c r="G671" i="10"/>
  <c r="G670" i="10"/>
  <c r="G647" i="10"/>
  <c r="G631" i="10"/>
  <c r="G712" i="10"/>
  <c r="G705" i="10"/>
  <c r="G698" i="10"/>
  <c r="G675" i="10"/>
  <c r="G668" i="10"/>
  <c r="G643" i="10"/>
  <c r="G639" i="10"/>
  <c r="G632" i="10"/>
  <c r="G708" i="10"/>
  <c r="G646" i="10"/>
  <c r="G682" i="10"/>
  <c r="G633" i="10"/>
  <c r="G679" i="10"/>
  <c r="G640" i="10"/>
  <c r="G628" i="10"/>
  <c r="G637" i="10"/>
  <c r="G644" i="10"/>
  <c r="G634" i="10"/>
  <c r="G626" i="10"/>
  <c r="G627" i="10"/>
  <c r="G674" i="10"/>
  <c r="G642" i="10"/>
  <c r="G630" i="10"/>
  <c r="G694" i="10"/>
  <c r="G638" i="10"/>
  <c r="G715" i="1" l="1"/>
  <c r="H628" i="1"/>
  <c r="H681" i="1" s="1"/>
  <c r="G715" i="10"/>
  <c r="H628" i="10"/>
  <c r="H709" i="1" l="1"/>
  <c r="H630" i="1"/>
  <c r="H638" i="1"/>
  <c r="H629" i="1"/>
  <c r="I629" i="1" s="1"/>
  <c r="H705" i="1"/>
  <c r="H707" i="1"/>
  <c r="H642" i="1"/>
  <c r="H668" i="1"/>
  <c r="H710" i="1"/>
  <c r="H636" i="1"/>
  <c r="H691" i="1"/>
  <c r="H676" i="1"/>
  <c r="H643" i="1"/>
  <c r="H672" i="1"/>
  <c r="H635" i="1"/>
  <c r="H703" i="1"/>
  <c r="H679" i="1"/>
  <c r="H695" i="1"/>
  <c r="H674" i="1"/>
  <c r="H685" i="1"/>
  <c r="H712" i="1"/>
  <c r="H699" i="1"/>
  <c r="H702" i="1"/>
  <c r="H646" i="1"/>
  <c r="H632" i="1"/>
  <c r="H670" i="1"/>
  <c r="H688" i="1"/>
  <c r="H698" i="1"/>
  <c r="H678" i="1"/>
  <c r="H696" i="1"/>
  <c r="H639" i="1"/>
  <c r="H669" i="1"/>
  <c r="H686" i="1"/>
  <c r="H704" i="1"/>
  <c r="H701" i="1"/>
  <c r="H631" i="1"/>
  <c r="H697" i="1"/>
  <c r="H634" i="1"/>
  <c r="H675" i="1"/>
  <c r="H633" i="1"/>
  <c r="H645" i="1"/>
  <c r="H690" i="1"/>
  <c r="H671" i="1"/>
  <c r="H711" i="1"/>
  <c r="H706" i="1"/>
  <c r="H677" i="1"/>
  <c r="H640" i="1"/>
  <c r="H692" i="1"/>
  <c r="H708" i="1"/>
  <c r="H673" i="1"/>
  <c r="H637" i="1"/>
  <c r="H713" i="1"/>
  <c r="H687" i="1"/>
  <c r="H689" i="1"/>
  <c r="H647" i="1"/>
  <c r="H680" i="1"/>
  <c r="H683" i="1"/>
  <c r="H644" i="1"/>
  <c r="H684" i="1"/>
  <c r="H641" i="1"/>
  <c r="H694" i="1"/>
  <c r="H682" i="1"/>
  <c r="H700" i="1"/>
  <c r="H716" i="1"/>
  <c r="H693" i="1"/>
  <c r="H708" i="10"/>
  <c r="H700" i="10"/>
  <c r="H692" i="10"/>
  <c r="H712" i="10"/>
  <c r="H704" i="10"/>
  <c r="H696" i="10"/>
  <c r="H688" i="10"/>
  <c r="H706" i="10"/>
  <c r="H698" i="10"/>
  <c r="H690" i="10"/>
  <c r="H710" i="10"/>
  <c r="H703" i="10"/>
  <c r="H689" i="10"/>
  <c r="H687" i="10"/>
  <c r="H681" i="10"/>
  <c r="H711" i="10"/>
  <c r="H697" i="10"/>
  <c r="H686" i="10"/>
  <c r="H678" i="10"/>
  <c r="H670" i="10"/>
  <c r="H647" i="10"/>
  <c r="H646" i="10"/>
  <c r="H645" i="10"/>
  <c r="H629" i="10"/>
  <c r="H699" i="10"/>
  <c r="H685" i="10"/>
  <c r="H677" i="10"/>
  <c r="H707" i="10"/>
  <c r="H693" i="10"/>
  <c r="H682" i="10"/>
  <c r="H674" i="10"/>
  <c r="H683" i="10"/>
  <c r="H641" i="10"/>
  <c r="H636" i="10"/>
  <c r="H713" i="10"/>
  <c r="H680" i="10"/>
  <c r="H637" i="10"/>
  <c r="H705" i="10"/>
  <c r="H675" i="10"/>
  <c r="H669" i="10"/>
  <c r="H668" i="10"/>
  <c r="H643" i="10"/>
  <c r="H639" i="10"/>
  <c r="H632" i="10"/>
  <c r="H691" i="10"/>
  <c r="H633" i="10"/>
  <c r="H694" i="10"/>
  <c r="H638" i="10"/>
  <c r="H679" i="10"/>
  <c r="H640" i="10"/>
  <c r="H702" i="10"/>
  <c r="H676" i="10"/>
  <c r="H635" i="10"/>
  <c r="H716" i="10"/>
  <c r="H701" i="10"/>
  <c r="H642" i="10"/>
  <c r="H630" i="10"/>
  <c r="H644" i="10"/>
  <c r="H634" i="10"/>
  <c r="H709" i="10"/>
  <c r="H695" i="10"/>
  <c r="H684" i="10"/>
  <c r="H673" i="10"/>
  <c r="H672" i="10"/>
  <c r="H671" i="10"/>
  <c r="H631" i="10"/>
  <c r="H715" i="1" l="1"/>
  <c r="I635" i="1"/>
  <c r="I668" i="1"/>
  <c r="I696" i="1"/>
  <c r="I703" i="1"/>
  <c r="I637" i="1"/>
  <c r="I716" i="1"/>
  <c r="I699" i="1"/>
  <c r="I675" i="1"/>
  <c r="I691" i="1"/>
  <c r="I690" i="1"/>
  <c r="I688" i="1"/>
  <c r="I686" i="1"/>
  <c r="I698" i="1"/>
  <c r="I639" i="1"/>
  <c r="I701" i="1"/>
  <c r="I631" i="1"/>
  <c r="I679" i="1"/>
  <c r="I638" i="1"/>
  <c r="I632" i="1"/>
  <c r="I636" i="1"/>
  <c r="I692" i="1"/>
  <c r="I647" i="1"/>
  <c r="I684" i="1"/>
  <c r="I711" i="1"/>
  <c r="I693" i="1"/>
  <c r="I634" i="1"/>
  <c r="I630" i="1"/>
  <c r="I670" i="1"/>
  <c r="I705" i="1"/>
  <c r="I677" i="1"/>
  <c r="I683" i="1"/>
  <c r="I697" i="1"/>
  <c r="I712" i="1"/>
  <c r="I645" i="1"/>
  <c r="I669" i="1"/>
  <c r="I685" i="1"/>
  <c r="I644" i="1"/>
  <c r="I682" i="1"/>
  <c r="I680" i="1"/>
  <c r="I687" i="1"/>
  <c r="I695" i="1"/>
  <c r="I710" i="1"/>
  <c r="I713" i="1"/>
  <c r="I671" i="1"/>
  <c r="I643" i="1"/>
  <c r="I706" i="1"/>
  <c r="I678" i="1"/>
  <c r="I707" i="1"/>
  <c r="I633" i="1"/>
  <c r="I700" i="1"/>
  <c r="I642" i="1"/>
  <c r="I681" i="1"/>
  <c r="I676" i="1"/>
  <c r="I672" i="1"/>
  <c r="I640" i="1"/>
  <c r="I709" i="1"/>
  <c r="I646" i="1"/>
  <c r="I674" i="1"/>
  <c r="I689" i="1"/>
  <c r="I641" i="1"/>
  <c r="I704" i="1"/>
  <c r="I694" i="1"/>
  <c r="I702" i="1"/>
  <c r="I708" i="1"/>
  <c r="I673" i="1"/>
  <c r="H715" i="10"/>
  <c r="I629" i="10"/>
  <c r="I715" i="1" l="1"/>
  <c r="J630" i="1"/>
  <c r="I713" i="10"/>
  <c r="I705" i="10"/>
  <c r="I697" i="10"/>
  <c r="I689" i="10"/>
  <c r="I709" i="10"/>
  <c r="I701" i="10"/>
  <c r="I693" i="10"/>
  <c r="I711" i="10"/>
  <c r="I703" i="10"/>
  <c r="I695" i="10"/>
  <c r="I696" i="10"/>
  <c r="I686" i="10"/>
  <c r="I678" i="10"/>
  <c r="I704" i="10"/>
  <c r="I690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707" i="10"/>
  <c r="I700" i="10"/>
  <c r="I682" i="10"/>
  <c r="I716" i="10"/>
  <c r="I708" i="10"/>
  <c r="I694" i="10"/>
  <c r="I679" i="10"/>
  <c r="I671" i="10"/>
  <c r="I680" i="10"/>
  <c r="I706" i="10"/>
  <c r="I699" i="10"/>
  <c r="I692" i="10"/>
  <c r="I677" i="10"/>
  <c r="I646" i="10"/>
  <c r="I712" i="10"/>
  <c r="I698" i="10"/>
  <c r="I691" i="10"/>
  <c r="I685" i="10"/>
  <c r="I674" i="10"/>
  <c r="I672" i="10"/>
  <c r="I702" i="10"/>
  <c r="I676" i="10"/>
  <c r="I688" i="10"/>
  <c r="I645" i="10"/>
  <c r="I684" i="10"/>
  <c r="I673" i="10"/>
  <c r="I687" i="10"/>
  <c r="I681" i="10"/>
  <c r="I710" i="10"/>
  <c r="I669" i="10"/>
  <c r="I670" i="10"/>
  <c r="I668" i="10"/>
  <c r="I647" i="10"/>
  <c r="J634" i="1" l="1"/>
  <c r="J638" i="1"/>
  <c r="J682" i="1"/>
  <c r="J643" i="1"/>
  <c r="J687" i="1"/>
  <c r="J674" i="1"/>
  <c r="J708" i="1"/>
  <c r="J700" i="1"/>
  <c r="J681" i="1"/>
  <c r="J633" i="1"/>
  <c r="J673" i="1"/>
  <c r="J697" i="1"/>
  <c r="J647" i="1"/>
  <c r="J688" i="1"/>
  <c r="J684" i="1"/>
  <c r="J711" i="1"/>
  <c r="J701" i="1"/>
  <c r="J632" i="1"/>
  <c r="J636" i="1"/>
  <c r="J704" i="1"/>
  <c r="J705" i="1"/>
  <c r="J680" i="1"/>
  <c r="J703" i="1"/>
  <c r="J631" i="1"/>
  <c r="J671" i="1"/>
  <c r="J685" i="1"/>
  <c r="J676" i="1"/>
  <c r="J644" i="1"/>
  <c r="J709" i="1"/>
  <c r="J668" i="1"/>
  <c r="J679" i="1"/>
  <c r="J645" i="1"/>
  <c r="J689" i="1"/>
  <c r="J707" i="1"/>
  <c r="J675" i="1"/>
  <c r="J698" i="1"/>
  <c r="J694" i="1"/>
  <c r="J678" i="1"/>
  <c r="J699" i="1"/>
  <c r="J696" i="1"/>
  <c r="J639" i="1"/>
  <c r="J637" i="1"/>
  <c r="J672" i="1"/>
  <c r="J640" i="1"/>
  <c r="J702" i="1"/>
  <c r="J635" i="1"/>
  <c r="J690" i="1"/>
  <c r="J713" i="1"/>
  <c r="J695" i="1"/>
  <c r="J716" i="1"/>
  <c r="J646" i="1"/>
  <c r="J670" i="1"/>
  <c r="J712" i="1"/>
  <c r="J692" i="1"/>
  <c r="J677" i="1"/>
  <c r="J693" i="1"/>
  <c r="J669" i="1"/>
  <c r="J691" i="1"/>
  <c r="J706" i="1"/>
  <c r="J683" i="1"/>
  <c r="J686" i="1"/>
  <c r="J710" i="1"/>
  <c r="J641" i="1"/>
  <c r="J642" i="1"/>
  <c r="I715" i="10"/>
  <c r="J630" i="10"/>
  <c r="L647" i="1" l="1"/>
  <c r="L704" i="1" s="1"/>
  <c r="K644" i="1"/>
  <c r="K693" i="1" s="1"/>
  <c r="J715" i="1"/>
  <c r="J710" i="10"/>
  <c r="J702" i="10"/>
  <c r="J694" i="10"/>
  <c r="J706" i="10"/>
  <c r="J698" i="10"/>
  <c r="J690" i="10"/>
  <c r="J708" i="10"/>
  <c r="J700" i="10"/>
  <c r="J692" i="10"/>
  <c r="J711" i="10"/>
  <c r="J704" i="10"/>
  <c r="J697" i="10"/>
  <c r="J683" i="10"/>
  <c r="J675" i="10"/>
  <c r="J712" i="10"/>
  <c r="J705" i="10"/>
  <c r="J691" i="10"/>
  <c r="J680" i="10"/>
  <c r="J672" i="10"/>
  <c r="J716" i="10"/>
  <c r="J693" i="10"/>
  <c r="J679" i="10"/>
  <c r="J701" i="10"/>
  <c r="J684" i="10"/>
  <c r="J676" i="10"/>
  <c r="J668" i="10"/>
  <c r="J713" i="10"/>
  <c r="J699" i="10"/>
  <c r="J677" i="10"/>
  <c r="J646" i="10"/>
  <c r="J637" i="10"/>
  <c r="J674" i="10"/>
  <c r="J673" i="10"/>
  <c r="J642" i="10"/>
  <c r="J638" i="10"/>
  <c r="J685" i="10"/>
  <c r="J633" i="10"/>
  <c r="J707" i="10"/>
  <c r="J682" i="10"/>
  <c r="J644" i="10"/>
  <c r="J640" i="10"/>
  <c r="J634" i="10"/>
  <c r="J670" i="10"/>
  <c r="J631" i="10"/>
  <c r="J688" i="10"/>
  <c r="J645" i="10"/>
  <c r="J635" i="10"/>
  <c r="J687" i="10"/>
  <c r="J681" i="10"/>
  <c r="J671" i="10"/>
  <c r="J669" i="10"/>
  <c r="J647" i="10"/>
  <c r="L647" i="10" s="1"/>
  <c r="J709" i="10"/>
  <c r="J695" i="10"/>
  <c r="J686" i="10"/>
  <c r="J641" i="10"/>
  <c r="J636" i="10"/>
  <c r="J703" i="10"/>
  <c r="J643" i="10"/>
  <c r="J639" i="10"/>
  <c r="J696" i="10"/>
  <c r="J632" i="10"/>
  <c r="J678" i="10"/>
  <c r="J689" i="10"/>
  <c r="J715" i="10" l="1"/>
  <c r="L671" i="1"/>
  <c r="L673" i="1"/>
  <c r="L716" i="1"/>
  <c r="L678" i="1"/>
  <c r="L706" i="1"/>
  <c r="L690" i="1"/>
  <c r="L686" i="1"/>
  <c r="L705" i="1"/>
  <c r="L698" i="1"/>
  <c r="L711" i="1"/>
  <c r="L693" i="1"/>
  <c r="M693" i="1" s="1"/>
  <c r="L676" i="1"/>
  <c r="L681" i="1"/>
  <c r="L689" i="1"/>
  <c r="L670" i="1"/>
  <c r="L675" i="1"/>
  <c r="L684" i="1"/>
  <c r="L677" i="1"/>
  <c r="L701" i="1"/>
  <c r="L709" i="1"/>
  <c r="L669" i="1"/>
  <c r="L703" i="1"/>
  <c r="L700" i="1"/>
  <c r="K700" i="1"/>
  <c r="K678" i="1"/>
  <c r="L696" i="1"/>
  <c r="L687" i="1"/>
  <c r="L672" i="1"/>
  <c r="L692" i="1"/>
  <c r="L679" i="1"/>
  <c r="L688" i="1"/>
  <c r="L695" i="1"/>
  <c r="L713" i="1"/>
  <c r="L680" i="1"/>
  <c r="L682" i="1"/>
  <c r="L668" i="1"/>
  <c r="L712" i="1"/>
  <c r="K712" i="1"/>
  <c r="K716" i="1"/>
  <c r="L685" i="1"/>
  <c r="L697" i="1"/>
  <c r="L708" i="1"/>
  <c r="L674" i="1"/>
  <c r="L699" i="1"/>
  <c r="L702" i="1"/>
  <c r="L683" i="1"/>
  <c r="L691" i="1"/>
  <c r="L710" i="1"/>
  <c r="L707" i="1"/>
  <c r="L694" i="1"/>
  <c r="K673" i="1"/>
  <c r="K670" i="1"/>
  <c r="K676" i="1"/>
  <c r="K708" i="1"/>
  <c r="K702" i="1"/>
  <c r="K697" i="1"/>
  <c r="K669" i="1"/>
  <c r="K688" i="1"/>
  <c r="K696" i="1"/>
  <c r="K710" i="1"/>
  <c r="K684" i="1"/>
  <c r="K675" i="1"/>
  <c r="K709" i="1"/>
  <c r="K685" i="1"/>
  <c r="K705" i="1"/>
  <c r="K694" i="1"/>
  <c r="K703" i="1"/>
  <c r="K704" i="1"/>
  <c r="M704" i="1" s="1"/>
  <c r="Y770" i="1" s="1"/>
  <c r="K671" i="1"/>
  <c r="K701" i="1"/>
  <c r="K683" i="1"/>
  <c r="K680" i="1"/>
  <c r="K672" i="1"/>
  <c r="K713" i="1"/>
  <c r="K711" i="1"/>
  <c r="K691" i="1"/>
  <c r="K698" i="1"/>
  <c r="K706" i="1"/>
  <c r="K695" i="1"/>
  <c r="K707" i="1"/>
  <c r="K668" i="1"/>
  <c r="K699" i="1"/>
  <c r="K681" i="1"/>
  <c r="K679" i="1"/>
  <c r="K682" i="1"/>
  <c r="K692" i="1"/>
  <c r="K686" i="1"/>
  <c r="K677" i="1"/>
  <c r="K689" i="1"/>
  <c r="K687" i="1"/>
  <c r="K674" i="1"/>
  <c r="K690" i="1"/>
  <c r="K644" i="10"/>
  <c r="L712" i="10"/>
  <c r="L704" i="10"/>
  <c r="L696" i="10"/>
  <c r="L688" i="10"/>
  <c r="L708" i="10"/>
  <c r="L700" i="10"/>
  <c r="L692" i="10"/>
  <c r="L710" i="10"/>
  <c r="L702" i="10"/>
  <c r="L694" i="10"/>
  <c r="L705" i="10"/>
  <c r="L698" i="10"/>
  <c r="L691" i="10"/>
  <c r="L685" i="10"/>
  <c r="L677" i="10"/>
  <c r="L713" i="10"/>
  <c r="L706" i="10"/>
  <c r="L699" i="10"/>
  <c r="L682" i="10"/>
  <c r="L674" i="10"/>
  <c r="L709" i="10"/>
  <c r="L681" i="10"/>
  <c r="L695" i="10"/>
  <c r="L687" i="10"/>
  <c r="L686" i="10"/>
  <c r="L678" i="10"/>
  <c r="L670" i="10"/>
  <c r="L673" i="10"/>
  <c r="L672" i="10"/>
  <c r="L671" i="10"/>
  <c r="L716" i="10"/>
  <c r="L701" i="10"/>
  <c r="L684" i="10"/>
  <c r="L669" i="10"/>
  <c r="L668" i="10"/>
  <c r="L707" i="10"/>
  <c r="L693" i="10"/>
  <c r="L679" i="10"/>
  <c r="L676" i="10"/>
  <c r="L703" i="10"/>
  <c r="L689" i="10"/>
  <c r="L711" i="10"/>
  <c r="L697" i="10"/>
  <c r="L675" i="10"/>
  <c r="L683" i="10"/>
  <c r="L690" i="10"/>
  <c r="L680" i="10"/>
  <c r="M694" i="1" l="1"/>
  <c r="H119" i="9" s="1"/>
  <c r="M685" i="1"/>
  <c r="F87" i="9" s="1"/>
  <c r="M698" i="1"/>
  <c r="E151" i="9" s="1"/>
  <c r="M671" i="1"/>
  <c r="Y737" i="1" s="1"/>
  <c r="M708" i="1"/>
  <c r="H183" i="9" s="1"/>
  <c r="M669" i="1"/>
  <c r="Y735" i="1" s="1"/>
  <c r="M710" i="1"/>
  <c r="C215" i="9" s="1"/>
  <c r="M706" i="1"/>
  <c r="Y772" i="1" s="1"/>
  <c r="M713" i="1"/>
  <c r="F215" i="9" s="1"/>
  <c r="M684" i="1"/>
  <c r="E87" i="9" s="1"/>
  <c r="M712" i="1"/>
  <c r="E215" i="9" s="1"/>
  <c r="M681" i="1"/>
  <c r="I55" i="9" s="1"/>
  <c r="M696" i="1"/>
  <c r="Y762" i="1" s="1"/>
  <c r="M702" i="1"/>
  <c r="I151" i="9" s="1"/>
  <c r="M673" i="1"/>
  <c r="H23" i="9" s="1"/>
  <c r="M688" i="1"/>
  <c r="Y754" i="1" s="1"/>
  <c r="M689" i="1"/>
  <c r="C119" i="9" s="1"/>
  <c r="M690" i="1"/>
  <c r="D119" i="9" s="1"/>
  <c r="M677" i="1"/>
  <c r="E55" i="9" s="1"/>
  <c r="M679" i="1"/>
  <c r="Y745" i="1" s="1"/>
  <c r="M707" i="1"/>
  <c r="Y773" i="1" s="1"/>
  <c r="M699" i="1"/>
  <c r="Y765" i="1" s="1"/>
  <c r="M682" i="1"/>
  <c r="Y748" i="1" s="1"/>
  <c r="M701" i="1"/>
  <c r="Y767" i="1" s="1"/>
  <c r="M675" i="1"/>
  <c r="Y741" i="1" s="1"/>
  <c r="M695" i="1"/>
  <c r="I119" i="9" s="1"/>
  <c r="M709" i="1"/>
  <c r="I183" i="9" s="1"/>
  <c r="M672" i="1"/>
  <c r="G23" i="9" s="1"/>
  <c r="M705" i="1"/>
  <c r="Y771" i="1" s="1"/>
  <c r="M676" i="1"/>
  <c r="Y742" i="1" s="1"/>
  <c r="M678" i="1"/>
  <c r="F55" i="9" s="1"/>
  <c r="M674" i="1"/>
  <c r="Y740" i="1" s="1"/>
  <c r="M686" i="1"/>
  <c r="G87" i="9" s="1"/>
  <c r="M680" i="1"/>
  <c r="Y746" i="1" s="1"/>
  <c r="M687" i="1"/>
  <c r="Y753" i="1" s="1"/>
  <c r="M692" i="1"/>
  <c r="F119" i="9" s="1"/>
  <c r="M711" i="1"/>
  <c r="Y777" i="1" s="1"/>
  <c r="M683" i="1"/>
  <c r="Y749" i="1" s="1"/>
  <c r="M703" i="1"/>
  <c r="C183" i="9" s="1"/>
  <c r="M697" i="1"/>
  <c r="D151" i="9" s="1"/>
  <c r="M670" i="1"/>
  <c r="E23" i="9" s="1"/>
  <c r="M700" i="1"/>
  <c r="G151" i="9" s="1"/>
  <c r="M691" i="1"/>
  <c r="E119" i="9" s="1"/>
  <c r="K715" i="1"/>
  <c r="L715" i="1"/>
  <c r="D183" i="9"/>
  <c r="Y776" i="1"/>
  <c r="M668" i="1"/>
  <c r="G119" i="9"/>
  <c r="Y759" i="1"/>
  <c r="L715" i="10"/>
  <c r="M677" i="10"/>
  <c r="Y743" i="10" s="1"/>
  <c r="M707" i="10"/>
  <c r="Y773" i="10" s="1"/>
  <c r="M682" i="10"/>
  <c r="Y748" i="10" s="1"/>
  <c r="K716" i="10"/>
  <c r="K707" i="10"/>
  <c r="K699" i="10"/>
  <c r="M699" i="10" s="1"/>
  <c r="Y765" i="10" s="1"/>
  <c r="K691" i="10"/>
  <c r="M691" i="10" s="1"/>
  <c r="Y757" i="10" s="1"/>
  <c r="K711" i="10"/>
  <c r="M711" i="10" s="1"/>
  <c r="Y777" i="10" s="1"/>
  <c r="K703" i="10"/>
  <c r="M703" i="10" s="1"/>
  <c r="Y769" i="10" s="1"/>
  <c r="K695" i="10"/>
  <c r="M695" i="10" s="1"/>
  <c r="Y761" i="10" s="1"/>
  <c r="K687" i="10"/>
  <c r="M687" i="10" s="1"/>
  <c r="Y753" i="10" s="1"/>
  <c r="K713" i="10"/>
  <c r="M713" i="10" s="1"/>
  <c r="Y779" i="10" s="1"/>
  <c r="K705" i="10"/>
  <c r="M705" i="10" s="1"/>
  <c r="Y771" i="10" s="1"/>
  <c r="K697" i="10"/>
  <c r="M697" i="10" s="1"/>
  <c r="Y763" i="10" s="1"/>
  <c r="K689" i="10"/>
  <c r="M689" i="10" s="1"/>
  <c r="Y755" i="10" s="1"/>
  <c r="K712" i="10"/>
  <c r="M712" i="10" s="1"/>
  <c r="Y778" i="10" s="1"/>
  <c r="K690" i="10"/>
  <c r="M690" i="10" s="1"/>
  <c r="Y756" i="10" s="1"/>
  <c r="K680" i="10"/>
  <c r="M680" i="10" s="1"/>
  <c r="Y746" i="10" s="1"/>
  <c r="K698" i="10"/>
  <c r="M698" i="10" s="1"/>
  <c r="Y764" i="10" s="1"/>
  <c r="K685" i="10"/>
  <c r="M685" i="10" s="1"/>
  <c r="Y751" i="10" s="1"/>
  <c r="K677" i="10"/>
  <c r="K669" i="10"/>
  <c r="M669" i="10" s="1"/>
  <c r="Y735" i="10" s="1"/>
  <c r="K708" i="10"/>
  <c r="M708" i="10" s="1"/>
  <c r="Y774" i="10" s="1"/>
  <c r="K701" i="10"/>
  <c r="M701" i="10" s="1"/>
  <c r="Y767" i="10" s="1"/>
  <c r="K694" i="10"/>
  <c r="M694" i="10" s="1"/>
  <c r="Y760" i="10" s="1"/>
  <c r="K684" i="10"/>
  <c r="M684" i="10" s="1"/>
  <c r="Y750" i="10" s="1"/>
  <c r="K676" i="10"/>
  <c r="M676" i="10" s="1"/>
  <c r="Y742" i="10" s="1"/>
  <c r="K709" i="10"/>
  <c r="M709" i="10" s="1"/>
  <c r="Y775" i="10" s="1"/>
  <c r="K702" i="10"/>
  <c r="M702" i="10" s="1"/>
  <c r="Y768" i="10" s="1"/>
  <c r="K688" i="10"/>
  <c r="M688" i="10" s="1"/>
  <c r="Y754" i="10" s="1"/>
  <c r="K681" i="10"/>
  <c r="M681" i="10" s="1"/>
  <c r="Y747" i="10" s="1"/>
  <c r="K673" i="10"/>
  <c r="M673" i="10" s="1"/>
  <c r="Y739" i="10" s="1"/>
  <c r="K706" i="10"/>
  <c r="M706" i="10" s="1"/>
  <c r="Y772" i="10" s="1"/>
  <c r="K692" i="10"/>
  <c r="M692" i="10" s="1"/>
  <c r="Y758" i="10" s="1"/>
  <c r="K674" i="10"/>
  <c r="M674" i="10" s="1"/>
  <c r="Y740" i="10" s="1"/>
  <c r="K672" i="10"/>
  <c r="M672" i="10" s="1"/>
  <c r="Y738" i="10" s="1"/>
  <c r="K671" i="10"/>
  <c r="M671" i="10" s="1"/>
  <c r="Y737" i="10" s="1"/>
  <c r="K670" i="10"/>
  <c r="M670" i="10" s="1"/>
  <c r="Y736" i="10" s="1"/>
  <c r="K682" i="10"/>
  <c r="K700" i="10"/>
  <c r="M700" i="10" s="1"/>
  <c r="Y766" i="10" s="1"/>
  <c r="K693" i="10"/>
  <c r="M693" i="10" s="1"/>
  <c r="Y759" i="10" s="1"/>
  <c r="K679" i="10"/>
  <c r="M679" i="10" s="1"/>
  <c r="Y745" i="10" s="1"/>
  <c r="K668" i="10"/>
  <c r="M668" i="10" s="1"/>
  <c r="K710" i="10"/>
  <c r="M710" i="10" s="1"/>
  <c r="Y776" i="10" s="1"/>
  <c r="K696" i="10"/>
  <c r="M696" i="10" s="1"/>
  <c r="Y762" i="10" s="1"/>
  <c r="K678" i="10"/>
  <c r="M678" i="10" s="1"/>
  <c r="Y744" i="10" s="1"/>
  <c r="K686" i="10"/>
  <c r="M686" i="10" s="1"/>
  <c r="Y752" i="10" s="1"/>
  <c r="K704" i="10"/>
  <c r="M704" i="10" s="1"/>
  <c r="Y770" i="10" s="1"/>
  <c r="K683" i="10"/>
  <c r="M683" i="10" s="1"/>
  <c r="Y749" i="10" s="1"/>
  <c r="K675" i="10"/>
  <c r="M675" i="10" s="1"/>
  <c r="Y741" i="10" s="1"/>
  <c r="Y760" i="1" l="1"/>
  <c r="F23" i="9"/>
  <c r="D23" i="9"/>
  <c r="Y751" i="1"/>
  <c r="Y764" i="1"/>
  <c r="Y774" i="1"/>
  <c r="Y778" i="1"/>
  <c r="I87" i="9"/>
  <c r="D55" i="9"/>
  <c r="F183" i="9"/>
  <c r="Y779" i="1"/>
  <c r="Y750" i="1"/>
  <c r="Y747" i="1"/>
  <c r="Y768" i="1"/>
  <c r="C151" i="9"/>
  <c r="Y739" i="1"/>
  <c r="Y756" i="1"/>
  <c r="Y755" i="1"/>
  <c r="Y736" i="1"/>
  <c r="Y752" i="1"/>
  <c r="D215" i="9"/>
  <c r="C55" i="9"/>
  <c r="Y761" i="1"/>
  <c r="G183" i="9"/>
  <c r="Y738" i="1"/>
  <c r="Y758" i="1"/>
  <c r="C87" i="9"/>
  <c r="Y743" i="1"/>
  <c r="Y744" i="1"/>
  <c r="F151" i="9"/>
  <c r="E183" i="9"/>
  <c r="I23" i="9"/>
  <c r="Y763" i="1"/>
  <c r="G55" i="9"/>
  <c r="H87" i="9"/>
  <c r="H151" i="9"/>
  <c r="D87" i="9"/>
  <c r="Y775" i="1"/>
  <c r="Y757" i="1"/>
  <c r="Y769" i="1"/>
  <c r="M715" i="1"/>
  <c r="H55" i="9"/>
  <c r="Y766" i="1"/>
  <c r="Y734" i="1"/>
  <c r="C23" i="9"/>
  <c r="M715" i="10"/>
  <c r="Y734" i="10"/>
  <c r="Y815" i="10" s="1"/>
  <c r="K715" i="10"/>
  <c r="Y815" i="1" l="1"/>
</calcChain>
</file>

<file path=xl/sharedStrings.xml><?xml version="1.0" encoding="utf-8"?>
<sst xmlns="http://schemas.openxmlformats.org/spreadsheetml/2006/main" count="6937" uniqueCount="1281">
  <si>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</si>
  <si>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</si>
  <si>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</si>
  <si>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</si>
  <si>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</si>
  <si>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</si>
  <si>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</si>
  <si>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</si>
  <si>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</si>
  <si>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</si>
  <si>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</si>
  <si>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</si>
  <si>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</si>
  <si>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</si>
  <si>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</si>
  <si>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</si>
  <si>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</si>
  <si>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</si>
  <si>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</si>
  <si>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</si>
  <si>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</si>
  <si>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</si>
  <si>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</si>
  <si>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</si>
  <si>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</si>
  <si>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</si>
  <si>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</si>
  <si>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</si>
  <si>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</si>
  <si>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</si>
  <si>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</si>
  <si>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</si>
  <si>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</si>
  <si>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</si>
  <si>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</si>
  <si>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</si>
  <si>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</si>
  <si>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</si>
  <si>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</si>
  <si>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</si>
  <si>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</si>
  <si>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</si>
  <si>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</si>
  <si>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</si>
  <si>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</si>
  <si>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</si>
  <si>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</si>
  <si>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</si>
  <si>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</si>
  <si>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</si>
  <si>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</si>
  <si>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</si>
  <si>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</si>
  <si>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</si>
  <si>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</si>
  <si>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</si>
  <si>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</si>
  <si>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</si>
  <si>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</si>
  <si>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</si>
  <si>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</si>
  <si>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</si>
  <si>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</si>
  <si>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</si>
  <si>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</si>
  <si>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</si>
  <si>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</si>
  <si>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</si>
  <si>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</si>
  <si>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</si>
  <si>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</si>
  <si>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</si>
  <si>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</si>
  <si>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</si>
  <si>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</si>
  <si>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</si>
  <si>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</si>
  <si>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</si>
  <si>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</si>
  <si>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</si>
  <si>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</si>
  <si>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</si>
  <si>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</si>
  <si>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</si>
  <si>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</si>
  <si>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</si>
  <si>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</si>
  <si>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</si>
  <si>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</si>
  <si>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</si>
  <si>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</si>
  <si>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</si>
  <si>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</si>
  <si>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</si>
  <si>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</si>
  <si>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</si>
  <si>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</si>
  <si>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</si>
  <si>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</si>
  <si>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</si>
  <si>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</si>
  <si>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</si>
  <si>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</si>
  <si>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</si>
  <si>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</si>
  <si>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</si>
  <si>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</si>
  <si>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</si>
  <si>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</si>
  <si>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</si>
  <si>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</si>
  <si>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</si>
  <si>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</si>
  <si>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</si>
  <si>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</si>
  <si>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</si>
  <si>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</si>
  <si>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</si>
  <si>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</si>
  <si>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</si>
  <si>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</si>
  <si>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</si>
  <si>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</si>
  <si>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</si>
  <si>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</si>
  <si>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</si>
  <si>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</si>
  <si>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</si>
  <si>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</si>
  <si>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</si>
  <si>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</si>
  <si>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</si>
  <si>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</si>
  <si>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</si>
  <si>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</si>
  <si>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</si>
  <si>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</si>
  <si>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</si>
  <si>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</si>
  <si>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</si>
  <si>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</si>
  <si>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</si>
  <si>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</si>
  <si>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</si>
  <si>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</si>
  <si>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</si>
  <si>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</si>
  <si>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</si>
  <si>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</si>
  <si>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</si>
  <si>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</si>
  <si>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</si>
  <si>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</si>
  <si>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</si>
  <si>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</si>
  <si>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</si>
  <si>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</si>
  <si>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</si>
  <si>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</si>
  <si>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</si>
  <si>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</si>
  <si>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</si>
  <si>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</si>
  <si>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</si>
  <si>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</si>
  <si>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</si>
  <si>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</si>
  <si>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</si>
  <si>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</si>
  <si>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</si>
  <si>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</si>
  <si>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</si>
  <si>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</si>
  <si>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</si>
  <si>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</si>
  <si>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</si>
  <si>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</si>
  <si>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</si>
  <si>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</si>
  <si>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</si>
  <si>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</si>
  <si>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</si>
  <si>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</si>
  <si>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</si>
  <si>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</si>
  <si>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</si>
  <si>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</si>
  <si>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</si>
  <si>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</si>
  <si>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</si>
  <si>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</si>
  <si>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</si>
  <si>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</si>
  <si>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</si>
  <si>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</si>
  <si>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</si>
  <si>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</si>
  <si>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</si>
  <si>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</si>
  <si>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</si>
  <si>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</si>
  <si>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</si>
  <si>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</si>
  <si>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</si>
  <si>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</si>
  <si>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</si>
  <si>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</si>
  <si>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</si>
  <si>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</si>
  <si>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</si>
  <si>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</si>
  <si>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</si>
  <si>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</si>
  <si>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</si>
  <si>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</si>
  <si>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</si>
  <si>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</si>
  <si>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</si>
  <si>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</si>
  <si>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</si>
  <si>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</si>
  <si>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</si>
  <si>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</si>
  <si>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</si>
  <si>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</si>
  <si>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</si>
  <si>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</si>
  <si>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</si>
  <si>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</si>
  <si>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</si>
  <si>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</si>
  <si>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</si>
  <si>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</si>
  <si>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</si>
  <si>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</si>
  <si>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</si>
  <si>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</si>
  <si>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</si>
  <si>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</si>
  <si>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</si>
  <si>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</si>
  <si>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</si>
  <si>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</si>
  <si>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</si>
  <si>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</si>
  <si>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</si>
  <si>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</si>
  <si>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</si>
  <si>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</si>
  <si>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</si>
  <si>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</si>
  <si>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</si>
  <si>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</si>
  <si>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</si>
  <si>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</si>
  <si>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</si>
  <si>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</si>
  <si>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</si>
  <si>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</si>
  <si>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</si>
  <si>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</si>
  <si>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</si>
  <si>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</si>
  <si>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</si>
  <si>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</si>
  <si>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</si>
  <si>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</si>
  <si>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</si>
  <si>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</si>
  <si>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</si>
  <si>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</si>
  <si>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</si>
  <si>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</si>
  <si>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</si>
  <si>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</si>
  <si>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</si>
  <si>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</si>
  <si>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</si>
  <si>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</si>
  <si>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</si>
  <si>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</si>
  <si>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</si>
  <si>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</si>
  <si>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</si>
  <si>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</si>
  <si>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</si>
  <si>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</si>
  <si>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</si>
  <si>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</si>
  <si>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</si>
  <si>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</si>
  <si>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</si>
  <si>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</si>
  <si>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</si>
  <si>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</si>
  <si>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</si>
  <si>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</si>
  <si>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</si>
  <si>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</si>
  <si>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</si>
  <si>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</si>
  <si>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</si>
  <si>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</si>
  <si>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</si>
  <si>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</si>
  <si>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</si>
  <si>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</si>
  <si>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</si>
  <si>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</si>
  <si>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</si>
  <si>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</si>
  <si>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</si>
  <si>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</si>
  <si>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</si>
  <si>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</si>
  <si>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</si>
  <si>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</si>
  <si>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</si>
  <si>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</si>
  <si>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</si>
  <si>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</si>
  <si>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</si>
  <si>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</si>
  <si>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</si>
  <si>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</si>
  <si>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</si>
  <si>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</si>
  <si>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</si>
  <si>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</si>
  <si>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</si>
  <si>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</si>
  <si>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</si>
  <si>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</si>
  <si>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</si>
  <si>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</si>
  <si>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</si>
  <si>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</si>
  <si>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</si>
  <si>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</si>
  <si>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</si>
  <si>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</si>
  <si>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</si>
  <si>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</si>
  <si>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</si>
  <si>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</si>
  <si>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</si>
  <si>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</si>
  <si>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</si>
  <si>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</si>
  <si>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</si>
  <si>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</si>
  <si>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</si>
  <si>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</si>
  <si>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</si>
  <si>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</si>
  <si>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</si>
  <si>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</si>
  <si>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</si>
  <si>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</si>
  <si>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</si>
  <si>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</si>
  <si>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</si>
  <si>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</si>
  <si>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</si>
  <si>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</si>
  <si>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</si>
  <si>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</si>
  <si>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</si>
  <si>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</si>
  <si>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</si>
  <si>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</si>
  <si>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</si>
  <si>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</si>
  <si>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</si>
  <si>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</si>
  <si>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</si>
  <si>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</si>
  <si>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</si>
  <si>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</si>
  <si>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</si>
  <si>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</si>
  <si>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</si>
  <si>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</si>
  <si>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</si>
  <si>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</si>
  <si>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</si>
  <si>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</si>
  <si>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</si>
  <si>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</si>
  <si>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</si>
  <si>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</si>
  <si>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</si>
  <si>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</si>
  <si>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</si>
  <si>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</si>
  <si>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</si>
  <si>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</si>
  <si>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</si>
  <si>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</si>
  <si>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</si>
  <si>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</si>
  <si>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</si>
  <si>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</si>
  <si>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</si>
  <si>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</si>
  <si>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</si>
  <si>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</si>
  <si>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</si>
  <si>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</si>
  <si>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</si>
  <si>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</si>
  <si>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</si>
  <si>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</si>
  <si>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</si>
  <si>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</si>
  <si>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</si>
  <si>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</si>
  <si>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</si>
  <si>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</si>
  <si>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</si>
  <si>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</si>
  <si>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</si>
  <si>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</si>
  <si>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</si>
  <si>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</si>
  <si>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</si>
  <si>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</si>
  <si>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</si>
  <si>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</si>
  <si>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</si>
  <si>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</si>
  <si>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</si>
  <si>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</si>
  <si>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</si>
  <si>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</si>
  <si>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</si>
  <si>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</si>
  <si>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</si>
  <si>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</si>
  <si>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</si>
  <si>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</si>
  <si>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</si>
  <si>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</si>
  <si>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</si>
  <si>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</si>
  <si>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</si>
  <si>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</si>
  <si>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</si>
  <si>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</si>
  <si>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</si>
  <si>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</si>
  <si>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</si>
  <si>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</si>
  <si>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</si>
  <si>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</si>
  <si>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</si>
  <si>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</si>
  <si>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</si>
  <si>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</si>
  <si>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</si>
  <si>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</si>
  <si>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</si>
  <si>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</si>
  <si>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</si>
  <si>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</si>
  <si>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</si>
  <si>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</si>
  <si>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</si>
  <si>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</si>
  <si>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</si>
  <si>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</si>
  <si>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</si>
  <si>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</si>
  <si>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</si>
  <si>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</si>
  <si>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</si>
  <si>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</si>
  <si>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</si>
  <si>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</si>
  <si>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</si>
  <si>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</si>
  <si>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</si>
  <si>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</si>
  <si>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</si>
  <si>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</si>
  <si>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</si>
  <si>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</si>
  <si>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</si>
  <si>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</si>
  <si>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</si>
  <si>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</si>
  <si>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</si>
  <si>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</si>
  <si>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</si>
  <si>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</si>
  <si>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</si>
  <si>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</si>
  <si>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</si>
  <si>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</si>
  <si>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</si>
  <si>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</si>
  <si>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</si>
  <si>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</si>
  <si>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</si>
  <si>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</si>
  <si>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</si>
  <si>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</si>
  <si>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</si>
  <si>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</si>
  <si>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</si>
  <si>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</si>
  <si>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</si>
  <si>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</si>
  <si>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</si>
  <si>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</si>
  <si>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</si>
  <si>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</si>
  <si>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</si>
  <si>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</si>
  <si>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</si>
  <si>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</si>
  <si>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</si>
  <si>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</si>
  <si>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</si>
  <si>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</si>
  <si>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</si>
  <si>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</si>
  <si>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</si>
  <si>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</si>
  <si>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</si>
  <si>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</si>
  <si>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</si>
  <si>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</si>
  <si>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</si>
  <si>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</si>
  <si>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</si>
  <si>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</si>
  <si>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</si>
  <si>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</si>
  <si>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</si>
  <si>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</si>
  <si>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</si>
  <si>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</si>
  <si>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</si>
  <si>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</si>
  <si>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</si>
  <si>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</si>
  <si>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</si>
  <si>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</si>
  <si>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</si>
  <si>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</si>
  <si>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</si>
  <si>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</si>
  <si>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</si>
  <si>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</si>
  <si>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</si>
  <si>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</si>
  <si>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</si>
  <si>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</si>
  <si>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</si>
  <si>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</si>
  <si>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</si>
  <si>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</si>
  <si>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</si>
  <si>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</si>
  <si>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</si>
  <si>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</si>
  <si>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</si>
  <si>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</si>
  <si>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</si>
  <si>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</si>
  <si>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</si>
  <si>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</si>
  <si>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</si>
  <si>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</si>
  <si>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</si>
  <si>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</si>
  <si>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</si>
  <si>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</si>
  <si>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</si>
  <si>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</si>
  <si>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</si>
  <si>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</si>
  <si>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</si>
  <si>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</si>
  <si>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</si>
  <si>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</si>
  <si>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</si>
  <si>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</si>
  <si>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</si>
  <si>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</si>
  <si>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</si>
  <si>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</si>
  <si>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</si>
  <si>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</si>
  <si>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</si>
  <si>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</si>
  <si>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</si>
  <si>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</si>
  <si>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</si>
  <si>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</si>
  <si>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</si>
  <si>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</si>
  <si>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</si>
  <si>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</si>
  <si>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</si>
  <si>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</si>
  <si>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</si>
  <si>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</si>
  <si>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</si>
  <si>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</si>
  <si>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</si>
  <si>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</si>
  <si>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</si>
  <si>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</si>
  <si>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</si>
  <si>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</si>
  <si>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</si>
  <si>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</si>
  <si>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</si>
  <si>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</si>
  <si>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</si>
  <si>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</si>
  <si>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</si>
  <si>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</si>
  <si>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</si>
  <si>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</si>
  <si>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</si>
  <si>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</si>
  <si>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</si>
  <si>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</si>
  <si>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</si>
  <si>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</si>
  <si>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</si>
  <si>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</si>
  <si>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</si>
  <si>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</si>
  <si>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</si>
  <si>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</si>
  <si>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</si>
  <si>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</si>
  <si>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</si>
  <si>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</si>
  <si>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</si>
  <si>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</si>
  <si>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</si>
  <si>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</si>
  <si>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</si>
  <si>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</si>
  <si>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</si>
  <si>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</si>
  <si>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</si>
  <si>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</si>
  <si>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</si>
  <si>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</si>
  <si>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</si>
  <si>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</si>
  <si>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</si>
  <si>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</si>
  <si>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</si>
  <si>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</si>
  <si>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</si>
  <si>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</si>
  <si>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</si>
  <si>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</si>
  <si>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</si>
  <si>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</si>
  <si>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</si>
  <si>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</si>
  <si>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</si>
  <si>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</si>
  <si>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</si>
  <si>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</si>
  <si>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</si>
  <si>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</si>
  <si>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</si>
  <si>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</si>
  <si>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</si>
  <si>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</si>
  <si>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</si>
  <si>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</si>
  <si>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</si>
  <si>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</si>
  <si>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</si>
  <si>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</si>
  <si>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</si>
  <si>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</si>
  <si>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</si>
  <si>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</si>
  <si>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</si>
  <si>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</si>
  <si>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</si>
  <si>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</si>
  <si>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</si>
  <si>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</si>
  <si>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</si>
  <si>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</si>
  <si>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</si>
  <si>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</si>
  <si>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</si>
  <si>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</si>
  <si>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</si>
  <si>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</si>
  <si>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</si>
  <si>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</si>
  <si>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</si>
  <si>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</si>
  <si>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</si>
  <si>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</si>
  <si>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</si>
  <si>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</si>
  <si>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</si>
  <si>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</si>
  <si>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</si>
  <si>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</si>
  <si>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</si>
  <si>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</si>
  <si>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</si>
  <si>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</si>
  <si>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</si>
  <si>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</si>
  <si>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</si>
  <si>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</si>
  <si>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</si>
  <si>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</si>
  <si>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</si>
  <si>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</si>
  <si>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</si>
  <si>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</si>
  <si>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</si>
  <si>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</si>
  <si>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</si>
  <si>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</si>
  <si>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</si>
  <si>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</si>
  <si>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</si>
  <si>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</si>
  <si>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</si>
  <si>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</si>
  <si>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</si>
  <si>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</si>
  <si>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</si>
  <si>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</si>
  <si>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</si>
  <si>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</si>
  <si>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</si>
  <si>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</si>
  <si>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</si>
  <si>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</si>
  <si>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</si>
  <si>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</si>
  <si>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</si>
  <si>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</si>
  <si>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</si>
  <si>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</si>
  <si>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</si>
  <si>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</si>
  <si>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</si>
  <si>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</si>
  <si>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</si>
  <si>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</si>
  <si>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</si>
  <si>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</si>
  <si>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</si>
  <si>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</si>
  <si>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</si>
  <si>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</si>
  <si>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</si>
  <si>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</si>
  <si>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</si>
  <si>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</si>
  <si>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</si>
  <si>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</si>
  <si>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</si>
  <si>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</si>
  <si>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</si>
  <si>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</si>
  <si>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</si>
  <si>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</si>
  <si>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</si>
  <si>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</si>
  <si>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</si>
  <si>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</si>
  <si>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</si>
  <si>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</si>
  <si>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</si>
  <si>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</si>
  <si>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</si>
  <si>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</si>
  <si>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</si>
  <si>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</si>
  <si>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</si>
  <si>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</si>
  <si>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</si>
  <si>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</si>
  <si>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</si>
  <si>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</si>
  <si>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</si>
  <si>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</si>
  <si>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</si>
  <si>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</si>
  <si>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</si>
  <si>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</si>
  <si>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</si>
  <si>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</si>
  <si>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</si>
  <si>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</si>
  <si>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</si>
  <si>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</si>
  <si>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</si>
  <si>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</si>
  <si>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</si>
  <si>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</si>
  <si>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</si>
  <si>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</si>
  <si>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</si>
  <si>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</si>
  <si>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</si>
  <si>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</si>
  <si>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</si>
  <si>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</si>
  <si>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</si>
  <si>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</si>
  <si>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</si>
  <si>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</si>
  <si>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</si>
  <si>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</si>
  <si>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</si>
  <si>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</si>
  <si>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</si>
  <si>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</si>
  <si>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</si>
  <si>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</si>
  <si>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</si>
  <si>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</si>
  <si>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</si>
  <si>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</si>
  <si>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</si>
  <si>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</si>
  <si>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</si>
  <si>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</si>
  <si>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</si>
  <si>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</si>
  <si>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</si>
  <si>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</si>
  <si>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</si>
  <si>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</si>
  <si>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</si>
  <si>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</si>
  <si>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</si>
  <si>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</si>
  <si>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</si>
  <si>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</si>
  <si>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</si>
  <si>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</si>
  <si>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</si>
  <si>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</si>
  <si>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</si>
  <si>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</si>
  <si>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</si>
  <si>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</si>
  <si>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</si>
  <si>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</si>
  <si>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</si>
  <si>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</si>
  <si>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</si>
  <si>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</si>
  <si>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</si>
  <si>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</si>
  <si>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</si>
  <si>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</si>
  <si>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</si>
  <si>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</si>
  <si>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</si>
  <si>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</si>
  <si>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</si>
  <si>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</si>
  <si>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</si>
  <si>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</si>
  <si>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</si>
  <si>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</si>
  <si>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</si>
  <si>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</si>
  <si>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</si>
  <si>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</si>
  <si>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</si>
  <si>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</si>
  <si>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</si>
  <si>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</si>
  <si>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</si>
  <si>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</si>
  <si>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</si>
  <si>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</si>
  <si>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</si>
  <si>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</si>
  <si>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</si>
  <si>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</si>
  <si>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</si>
  <si>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</si>
  <si>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</si>
  <si>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</si>
  <si>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</si>
  <si>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</si>
  <si>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</si>
  <si>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</si>
  <si>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</si>
  <si>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</si>
  <si>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</si>
  <si>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</si>
  <si>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</si>
  <si>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</si>
  <si>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</si>
  <si>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</si>
  <si>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</si>
  <si>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</si>
  <si>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</si>
  <si>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</si>
  <si>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</si>
  <si>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</si>
  <si>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</si>
  <si>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</si>
  <si>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</si>
  <si>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</si>
  <si>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</si>
  <si>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</si>
  <si>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</si>
  <si>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</si>
  <si>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</si>
  <si>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</si>
  <si>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</si>
  <si>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</si>
  <si>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</si>
  <si>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</si>
  <si>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</si>
  <si>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</si>
  <si>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</si>
  <si>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</si>
  <si>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</si>
  <si>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</si>
  <si>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</si>
  <si>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</si>
  <si>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</si>
  <si>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</si>
  <si>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</si>
  <si>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</si>
  <si>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</si>
  <si>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</si>
  <si>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</si>
  <si>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</si>
  <si>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</si>
  <si>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</si>
  <si>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</si>
  <si>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</si>
  <si>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</si>
  <si>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</si>
  <si>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</si>
  <si>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</si>
  <si>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</si>
  <si>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</si>
  <si>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</si>
  <si>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</si>
  <si>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</si>
  <si>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</si>
  <si>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</si>
  <si>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</si>
  <si>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</si>
  <si>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</si>
  <si>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</si>
  <si>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</si>
  <si>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</si>
  <si>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</si>
  <si>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</si>
  <si>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</si>
  <si>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</si>
  <si>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</si>
  <si>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</si>
  <si>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</si>
  <si>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</si>
  <si>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</si>
  <si>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</si>
  <si>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</si>
  <si>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</si>
  <si>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</si>
  <si>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</si>
  <si>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</si>
  <si>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</si>
  <si>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</si>
  <si>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</si>
  <si>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</si>
  <si>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</si>
  <si>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</si>
  <si>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</si>
  <si>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</si>
  <si>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</si>
  <si>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</si>
  <si>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</si>
  <si>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</si>
  <si>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</si>
  <si>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</si>
  <si>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</si>
  <si>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</si>
  <si>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</si>
  <si>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</si>
  <si>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</si>
  <si>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</si>
  <si>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</si>
  <si>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</si>
  <si>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</si>
  <si>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</si>
  <si>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</si>
  <si>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</si>
  <si>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</si>
  <si>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</si>
  <si>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</si>
  <si>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</si>
  <si>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</si>
  <si>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</si>
  <si>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</si>
  <si>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</si>
  <si>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</si>
  <si>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</si>
  <si>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</si>
  <si>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</si>
  <si>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</si>
  <si>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</si>
  <si>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</si>
  <si>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</si>
  <si>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</si>
  <si>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</si>
  <si>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</si>
  <si>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</si>
  <si>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</si>
  <si>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</si>
  <si>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</si>
  <si>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</si>
  <si>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</si>
  <si>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</si>
  <si>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</si>
  <si>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</si>
  <si>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</si>
  <si>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</si>
  <si>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</si>
  <si>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</si>
  <si>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</si>
  <si>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</si>
  <si>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</si>
  <si>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</si>
  <si>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</si>
  <si>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</si>
  <si>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</si>
  <si>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</si>
  <si>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</si>
  <si>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</si>
  <si>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</si>
  <si>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</si>
  <si>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</si>
  <si>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</si>
  <si>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</si>
  <si>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</si>
  <si>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</si>
  <si>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</si>
  <si>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</si>
  <si>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</si>
  <si>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</si>
  <si>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</si>
  <si>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</si>
  <si>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</si>
  <si>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</si>
  <si>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</si>
  <si>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</si>
  <si>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</si>
  <si>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</si>
  <si>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</si>
  <si>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</si>
  <si>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</si>
  <si>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</si>
  <si>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</si>
  <si>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</si>
  <si>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</si>
  <si>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</si>
  <si>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</si>
  <si>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</si>
  <si>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</si>
  <si>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</si>
  <si>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</si>
  <si>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</si>
  <si>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</si>
  <si>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</si>
  <si>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</si>
  <si>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</si>
  <si>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</si>
  <si>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</si>
  <si>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</si>
  <si>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</si>
  <si>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</si>
  <si>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</si>
  <si>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</si>
  <si>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</si>
  <si>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</si>
  <si>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</si>
  <si>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</si>
  <si>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</si>
  <si>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</si>
  <si>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</si>
  <si>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</si>
  <si>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</si>
  <si>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</si>
  <si>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</si>
  <si>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</si>
  <si>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</si>
  <si>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</si>
  <si>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</si>
  <si>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</si>
  <si>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</si>
  <si>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</si>
  <si>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</si>
  <si>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</si>
  <si>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</si>
  <si>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</si>
  <si>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</si>
  <si>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</si>
  <si>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</si>
  <si>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</si>
  <si>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</si>
  <si>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</si>
  <si>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</si>
  <si>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</si>
  <si>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</si>
  <si>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</si>
  <si>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</si>
  <si>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</si>
  <si>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</si>
  <si>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</si>
  <si>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</si>
  <si>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</si>
  <si>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</si>
  <si>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</si>
  <si>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</si>
  <si>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</si>
  <si>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</si>
  <si>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</si>
  <si>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</si>
  <si>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</si>
  <si>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</si>
  <si>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</si>
  <si>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</si>
  <si>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</si>
  <si>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</si>
  <si>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</si>
  <si>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</si>
  <si>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</si>
  <si>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</si>
  <si>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</si>
  <si>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</si>
  <si>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</si>
  <si>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</si>
  <si>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</si>
  <si>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</si>
  <si>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</si>
  <si>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</si>
  <si>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</si>
  <si>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</si>
  <si>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</si>
  <si>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</si>
  <si>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</si>
  <si>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</si>
  <si>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</si>
  <si>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</si>
  <si>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</si>
  <si>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</si>
  <si>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</si>
  <si>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</si>
  <si>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</si>
  <si>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</si>
  <si>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</si>
  <si>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</si>
  <si>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</si>
  <si>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</si>
  <si>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</si>
  <si>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</si>
  <si>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</si>
  <si>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</si>
  <si>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</si>
  <si>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</si>
  <si>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</si>
  <si>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</si>
  <si>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</si>
  <si>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</si>
  <si>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</si>
  <si>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</si>
  <si>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</si>
  <si>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</si>
  <si>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</si>
  <si>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</si>
  <si>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</si>
  <si>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</si>
  <si>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</si>
  <si>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</si>
  <si>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</si>
  <si>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</si>
  <si>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</si>
  <si>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</si>
  <si>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</si>
  <si>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</si>
  <si>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</si>
  <si>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</si>
  <si>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</si>
  <si>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</si>
  <si>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</si>
  <si>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</si>
  <si>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</si>
  <si>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</si>
  <si>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</si>
  <si>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</si>
  <si>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</si>
  <si>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</si>
  <si>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</si>
  <si>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</si>
  <si>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</si>
  <si>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</si>
  <si>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</si>
  <si>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</si>
  <si>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</si>
  <si>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</si>
  <si>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</si>
  <si>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</si>
  <si>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</si>
  <si>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</si>
  <si>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</si>
  <si>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</si>
  <si>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</si>
  <si>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</si>
  <si>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</si>
  <si>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</si>
  <si>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</si>
  <si>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</si>
  <si>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</si>
  <si>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</si>
  <si>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</si>
  <si>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</si>
  <si>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</si>
  <si>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</si>
  <si>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</si>
  <si>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</si>
  <si>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</si>
  <si>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</si>
  <si>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</si>
  <si>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</si>
  <si>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</si>
  <si>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</si>
  <si>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</si>
  <si>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</si>
  <si>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</si>
  <si>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</si>
  <si>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</si>
  <si>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</si>
  <si>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</si>
  <si>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</si>
  <si>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</si>
  <si>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</si>
  <si>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</si>
  <si>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</si>
  <si>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</si>
  <si>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</si>
  <si>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</si>
  <si>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12/31/2018</t>
  </si>
  <si>
    <t>12/31/2019</t>
  </si>
  <si>
    <t>147</t>
  </si>
  <si>
    <t>Mid Valley Hospital</t>
  </si>
  <si>
    <t xml:space="preserve"> 810 Jasmine Street</t>
  </si>
  <si>
    <t>PO Box 793</t>
  </si>
  <si>
    <t>Omak, WA  98841</t>
  </si>
  <si>
    <t>Okanogan</t>
  </si>
  <si>
    <t>Alan J Fisher</t>
  </si>
  <si>
    <t>Holly J Stanley</t>
  </si>
  <si>
    <t>Gary H Oestreich</t>
  </si>
  <si>
    <t>509-826-1760</t>
  </si>
  <si>
    <t>509-826-8183</t>
  </si>
  <si>
    <t>Expenses in 2017 were high due to a nurse transferring time to the Nursery department rather than Labor and Delivery.</t>
  </si>
  <si>
    <t>2017</t>
  </si>
  <si>
    <t>12/31/2020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</si>
</sst>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98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0" borderId="1" xfId="0" quotePrefix="1" applyNumberFormat="1" applyFont="1" applyFill="1" applyBorder="1" applyProtection="1">
      <protection locked="0"/>
    </xf>
    <xf numFmtId="37" fontId="9" fillId="0" borderId="1" xfId="1" quotePrefix="1" applyNumberFormat="1" applyFont="1" applyFill="1" applyBorder="1" applyProtection="1">
      <protection locked="0"/>
    </xf>
    <xf numFmtId="37" fontId="9" fillId="0" borderId="1" xfId="1" applyNumberFormat="1" applyFont="1" applyFill="1" applyBorder="1" applyProtection="1">
      <protection locked="0"/>
    </xf>
    <xf numFmtId="39" fontId="9" fillId="0" borderId="1" xfId="3" quotePrefix="1" applyNumberFormat="1" applyFont="1" applyFill="1" applyBorder="1" applyProtection="1">
      <protection locked="0"/>
    </xf>
    <xf numFmtId="39" fontId="9" fillId="0" borderId="1" xfId="0" quotePrefix="1" applyNumberFormat="1" applyFont="1" applyFill="1" applyBorder="1" applyProtection="1">
      <protection locked="0"/>
    </xf>
    <xf numFmtId="39" fontId="9" fillId="0" borderId="1" xfId="0" applyNumberFormat="1" applyFont="1" applyFill="1" applyBorder="1" applyProtection="1">
      <protection locked="0"/>
    </xf>
    <xf numFmtId="39" fontId="9" fillId="0" borderId="1" xfId="1" quotePrefix="1" applyNumberFormat="1" applyFont="1" applyFill="1" applyBorder="1" applyProtection="1">
      <protection locked="0"/>
    </xf>
    <xf numFmtId="38" fontId="9" fillId="0" borderId="1" xfId="0" applyNumberFormat="1" applyFont="1" applyFill="1" applyBorder="1" applyProtection="1">
      <protection locked="0"/>
    </xf>
    <xf numFmtId="165" fontId="9" fillId="0" borderId="1" xfId="1" quotePrefix="1" applyNumberFormat="1" applyFont="1" applyFill="1" applyBorder="1" applyProtection="1">
      <protection locked="0"/>
    </xf>
    <xf numFmtId="37" fontId="9" fillId="0" borderId="1" xfId="0" applyFont="1" applyFill="1" applyBorder="1" applyProtection="1">
      <protection locked="0"/>
    </xf>
    <xf numFmtId="38" fontId="9" fillId="0" borderId="1" xfId="0" applyNumberFormat="1" applyFont="1" applyFill="1" applyBorder="1" applyAlignment="1" applyProtection="1">
      <alignment horizontal="center"/>
      <protection locked="0"/>
    </xf>
    <xf numFmtId="37" fontId="3" fillId="0" borderId="0" xfId="0" quotePrefix="1" applyFont="1" applyFill="1" applyAlignment="1" applyProtection="1">
      <alignment horizontal="left"/>
    </xf>
    <xf numFmtId="37" fontId="9" fillId="3" borderId="0" xfId="0" applyFont="1" applyFill="1" applyAlignment="1" applyProtection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83" transitionEvaluation="1" transitionEntry="1" codeName="Sheet1">
    <pageSetUpPr autoPageBreaks="0" fitToPage="1"/>
  </sheetPr>
  <dimension ref="A1:CF817"/>
  <sheetViews>
    <sheetView showGridLines="0" tabSelected="1" topLeftCell="A39" zoomScaleNormal="100" workbookViewId="0">
      <pane xSplit="2" ySplit="8" topLeftCell="C83" activePane="bottomRight" state="frozen"/>
      <selection activeCell="A39" sqref="A39"/>
      <selection pane="topRight" activeCell="C39" sqref="C39"/>
      <selection pane="bottomLeft" activeCell="A47" sqref="A47"/>
      <selection pane="bottomRight" activeCell="CD53" sqref="CD53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1231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180" t="s">
        <v>1260</v>
      </c>
      <c r="C16" s="235"/>
      <c r="F16" s="282" t="s">
        <v>1259</v>
      </c>
    </row>
    <row r="17" spans="1:6" ht="12.75" customHeight="1" x14ac:dyDescent="0.35">
      <c r="A17" s="180" t="s">
        <v>1230</v>
      </c>
      <c r="C17" s="282" t="s">
        <v>1259</v>
      </c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5">
      <c r="A21" s="199"/>
      <c r="C21" s="235"/>
    </row>
    <row r="22" spans="1:6" ht="12.65" customHeight="1" x14ac:dyDescent="0.35">
      <c r="A22" s="236" t="s">
        <v>1254</v>
      </c>
      <c r="B22" s="237"/>
      <c r="C22" s="238"/>
      <c r="D22" s="236"/>
      <c r="E22" s="236"/>
    </row>
    <row r="23" spans="1:6" ht="12.65" customHeight="1" x14ac:dyDescent="0.35">
      <c r="B23" s="199"/>
      <c r="C23" s="235"/>
    </row>
    <row r="24" spans="1:6" ht="12.65" customHeight="1" x14ac:dyDescent="0.35">
      <c r="A24" s="239" t="s">
        <v>3</v>
      </c>
      <c r="C24" s="235"/>
    </row>
    <row r="25" spans="1:6" ht="12.65" customHeight="1" x14ac:dyDescent="0.35">
      <c r="A25" s="198" t="s">
        <v>1235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1236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1237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1238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296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3949360.79</v>
      </c>
      <c r="C47" s="184"/>
      <c r="D47" s="184"/>
      <c r="E47" s="184">
        <v>484861.82</v>
      </c>
      <c r="F47" s="184">
        <v>29398.87</v>
      </c>
      <c r="G47" s="184"/>
      <c r="H47" s="184"/>
      <c r="I47" s="184"/>
      <c r="J47" s="184"/>
      <c r="K47" s="184"/>
      <c r="L47" s="184"/>
      <c r="M47" s="184"/>
      <c r="N47" s="184"/>
      <c r="O47" s="184">
        <v>151544.85</v>
      </c>
      <c r="P47" s="184">
        <v>197314.44</v>
      </c>
      <c r="Q47" s="184">
        <v>121520.34</v>
      </c>
      <c r="R47" s="184">
        <v>0</v>
      </c>
      <c r="S47" s="184">
        <v>28811.26</v>
      </c>
      <c r="T47" s="184"/>
      <c r="U47" s="184">
        <v>149359.82</v>
      </c>
      <c r="V47" s="184"/>
      <c r="W47" s="184"/>
      <c r="X47" s="184"/>
      <c r="Y47" s="184">
        <v>190751.11</v>
      </c>
      <c r="Z47" s="184"/>
      <c r="AA47" s="184"/>
      <c r="AB47" s="184">
        <v>43746.14</v>
      </c>
      <c r="AC47" s="184">
        <v>60150.1</v>
      </c>
      <c r="AD47" s="184"/>
      <c r="AE47" s="184">
        <v>133425.12</v>
      </c>
      <c r="AF47" s="184">
        <v>0</v>
      </c>
      <c r="AG47" s="184">
        <v>308942.88</v>
      </c>
      <c r="AH47" s="184"/>
      <c r="AI47" s="184"/>
      <c r="AJ47" s="184"/>
      <c r="AK47" s="184"/>
      <c r="AL47" s="184"/>
      <c r="AM47" s="184"/>
      <c r="AN47" s="184"/>
      <c r="AO47" s="184"/>
      <c r="AP47" s="184">
        <v>836376.83</v>
      </c>
      <c r="AQ47" s="184"/>
      <c r="AR47" s="184"/>
      <c r="AS47" s="184"/>
      <c r="AT47" s="184"/>
      <c r="AU47" s="184"/>
      <c r="AV47" s="184"/>
      <c r="AW47" s="184"/>
      <c r="AX47" s="184"/>
      <c r="AY47" s="184">
        <v>97474.66</v>
      </c>
      <c r="AZ47" s="184"/>
      <c r="BA47" s="184"/>
      <c r="BB47" s="184"/>
      <c r="BC47" s="184"/>
      <c r="BD47" s="184">
        <v>35694.43</v>
      </c>
      <c r="BE47" s="184">
        <v>55816.5</v>
      </c>
      <c r="BF47" s="184">
        <v>125629.13</v>
      </c>
      <c r="BG47" s="184">
        <v>16340.15</v>
      </c>
      <c r="BH47" s="184">
        <v>81816.759999999995</v>
      </c>
      <c r="BI47" s="184"/>
      <c r="BJ47" s="184">
        <v>106822.74</v>
      </c>
      <c r="BK47" s="184">
        <v>205122.53</v>
      </c>
      <c r="BL47" s="184">
        <v>92486.71</v>
      </c>
      <c r="BM47" s="184"/>
      <c r="BN47" s="184">
        <v>117262.95</v>
      </c>
      <c r="BO47" s="184">
        <v>38298.1</v>
      </c>
      <c r="BP47" s="184"/>
      <c r="BQ47" s="184"/>
      <c r="BR47" s="184">
        <v>44482.34</v>
      </c>
      <c r="BS47" s="184"/>
      <c r="BT47" s="184"/>
      <c r="BU47" s="184"/>
      <c r="BV47" s="184">
        <v>115112.07</v>
      </c>
      <c r="BW47" s="184"/>
      <c r="BX47" s="184">
        <v>21663.46</v>
      </c>
      <c r="BY47" s="184">
        <v>56055.73</v>
      </c>
      <c r="BZ47" s="184"/>
      <c r="CA47" s="184">
        <v>881.9</v>
      </c>
      <c r="CB47" s="184"/>
      <c r="CC47" s="184">
        <v>2197.0500000000002</v>
      </c>
      <c r="CD47" s="195"/>
      <c r="CE47" s="195">
        <f>SUM(C47:CC47)</f>
        <v>3949360.7899999991</v>
      </c>
    </row>
    <row r="48" spans="1:83" ht="12.65" customHeight="1" x14ac:dyDescent="0.35">
      <c r="A48" s="175" t="s">
        <v>205</v>
      </c>
      <c r="B48" s="183">
        <v>560.61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69</v>
      </c>
      <c r="F48" s="195">
        <f>ROUND(((B48/CE61)*F61),0)</f>
        <v>8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22</v>
      </c>
      <c r="P48" s="195">
        <f>ROUND(((B48/CE61)*P61),0)</f>
        <v>27</v>
      </c>
      <c r="Q48" s="195">
        <f>ROUND(((B48/CE61)*Q61),0)</f>
        <v>18</v>
      </c>
      <c r="R48" s="195">
        <f>ROUND(((B48/CE61)*R61),0)</f>
        <v>0</v>
      </c>
      <c r="S48" s="195">
        <f>ROUND(((B48/CE61)*S61),0)</f>
        <v>2</v>
      </c>
      <c r="T48" s="195">
        <f>ROUND(((B48/CE61)*T61),0)</f>
        <v>0</v>
      </c>
      <c r="U48" s="195">
        <f>ROUND(((B48/CE61)*U61),0)</f>
        <v>19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27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7</v>
      </c>
      <c r="AC48" s="195">
        <f>ROUND(((B48/CE61)*AC61),0)</f>
        <v>8</v>
      </c>
      <c r="AD48" s="195">
        <f>ROUND(((B48/CE61)*AD61),0)</f>
        <v>0</v>
      </c>
      <c r="AE48" s="195">
        <f>ROUND(((B48/CE61)*AE61),0)</f>
        <v>15</v>
      </c>
      <c r="AF48" s="195">
        <f>ROUND(((B48/CE61)*AF61),0)</f>
        <v>0</v>
      </c>
      <c r="AG48" s="195">
        <f>ROUND(((B48/CE61)*AG61),0)</f>
        <v>47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151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10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4</v>
      </c>
      <c r="BE48" s="195">
        <f>ROUND(((B48/CE61)*BE61),0)</f>
        <v>7</v>
      </c>
      <c r="BF48" s="195">
        <f>ROUND(((B48/CE61)*BF61),0)</f>
        <v>11</v>
      </c>
      <c r="BG48" s="195">
        <f>ROUND(((B48/CE61)*BG61),0)</f>
        <v>1</v>
      </c>
      <c r="BH48" s="195">
        <f>ROUND(((B48/CE61)*BH61),0)</f>
        <v>10</v>
      </c>
      <c r="BI48" s="195">
        <f>ROUND(((B48/CE61)*BI61),0)</f>
        <v>0</v>
      </c>
      <c r="BJ48" s="195">
        <f>ROUND(((B48/CE61)*BJ61),0)</f>
        <v>16</v>
      </c>
      <c r="BK48" s="195">
        <f>ROUND(((B48/CE61)*BK61),0)</f>
        <v>18</v>
      </c>
      <c r="BL48" s="195">
        <f>ROUND(((B48/CE61)*BL61),0)</f>
        <v>5</v>
      </c>
      <c r="BM48" s="195">
        <f>ROUND(((B48/CE61)*BM61),0)</f>
        <v>0</v>
      </c>
      <c r="BN48" s="195">
        <f>ROUND(((B48/CE61)*BN61),0)</f>
        <v>22</v>
      </c>
      <c r="BO48" s="195">
        <f>ROUND(((B48/CE61)*BO61),0)</f>
        <v>9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6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13</v>
      </c>
      <c r="BW48" s="195">
        <f>ROUND(((B48/CE61)*BW61),0)</f>
        <v>0</v>
      </c>
      <c r="BX48" s="195">
        <f>ROUND(((B48/CE61)*BX61),0)</f>
        <v>3</v>
      </c>
      <c r="BY48" s="195">
        <f>ROUND(((B48/CE61)*BY61),0)</f>
        <v>7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1</v>
      </c>
      <c r="CD48" s="195"/>
      <c r="CE48" s="195">
        <f>SUM(C48:CD48)</f>
        <v>563</v>
      </c>
    </row>
    <row r="49" spans="1:84" ht="12.65" customHeight="1" x14ac:dyDescent="0.35">
      <c r="A49" s="175" t="s">
        <v>206</v>
      </c>
      <c r="B49" s="195">
        <f>B47+B48</f>
        <v>3949921.4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1133585</v>
      </c>
      <c r="C51" s="184"/>
      <c r="D51" s="184"/>
      <c r="E51" s="184">
        <v>39667</v>
      </c>
      <c r="F51" s="184"/>
      <c r="G51" s="184"/>
      <c r="H51" s="184"/>
      <c r="I51" s="184"/>
      <c r="J51" s="184">
        <v>659</v>
      </c>
      <c r="K51" s="184"/>
      <c r="L51" s="184"/>
      <c r="M51" s="184"/>
      <c r="N51" s="184"/>
      <c r="O51" s="184">
        <v>14042</v>
      </c>
      <c r="P51" s="184">
        <v>281134</v>
      </c>
      <c r="Q51" s="184">
        <v>14014</v>
      </c>
      <c r="R51" s="184"/>
      <c r="S51" s="184">
        <v>687</v>
      </c>
      <c r="T51" s="184"/>
      <c r="U51" s="184">
        <v>30019</v>
      </c>
      <c r="V51" s="184"/>
      <c r="W51" s="184"/>
      <c r="X51" s="184"/>
      <c r="Y51" s="184">
        <v>452939</v>
      </c>
      <c r="Z51" s="184"/>
      <c r="AA51" s="184"/>
      <c r="AB51" s="184"/>
      <c r="AC51" s="184">
        <v>1175</v>
      </c>
      <c r="AD51" s="184"/>
      <c r="AE51" s="184"/>
      <c r="AF51" s="184"/>
      <c r="AG51" s="184">
        <v>142094.72</v>
      </c>
      <c r="AH51" s="184"/>
      <c r="AI51" s="184"/>
      <c r="AJ51" s="184"/>
      <c r="AK51" s="184"/>
      <c r="AL51" s="184"/>
      <c r="AM51" s="184"/>
      <c r="AN51" s="184"/>
      <c r="AO51" s="184"/>
      <c r="AP51" s="184">
        <v>46773</v>
      </c>
      <c r="AQ51" s="184"/>
      <c r="AR51" s="184"/>
      <c r="AS51" s="184"/>
      <c r="AT51" s="184"/>
      <c r="AU51" s="184"/>
      <c r="AV51" s="184"/>
      <c r="AW51" s="184"/>
      <c r="AX51" s="184"/>
      <c r="AY51" s="184">
        <v>6991</v>
      </c>
      <c r="AZ51" s="184"/>
      <c r="BA51" s="184"/>
      <c r="BB51" s="184"/>
      <c r="BC51" s="184"/>
      <c r="BD51" s="184"/>
      <c r="BE51" s="184">
        <f>15291.48+33340.06</f>
        <v>48631.539999999994</v>
      </c>
      <c r="BF51" s="184">
        <v>0</v>
      </c>
      <c r="BG51" s="184"/>
      <c r="BH51" s="184">
        <v>40802</v>
      </c>
      <c r="BI51" s="184"/>
      <c r="BJ51" s="184">
        <v>9507</v>
      </c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>
        <v>412</v>
      </c>
      <c r="BW51" s="184"/>
      <c r="BX51" s="184"/>
      <c r="BY51" s="184"/>
      <c r="BZ51" s="184"/>
      <c r="CA51" s="184">
        <v>4037</v>
      </c>
      <c r="CB51" s="184"/>
      <c r="CC51" s="184"/>
      <c r="CD51" s="195"/>
      <c r="CE51" s="195">
        <f>SUM(C51:CD51)</f>
        <v>1133584.26</v>
      </c>
    </row>
    <row r="52" spans="1:84" ht="12.65" customHeight="1" x14ac:dyDescent="0.35">
      <c r="A52" s="171" t="s">
        <v>208</v>
      </c>
      <c r="B52" s="184">
        <v>898349.98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69634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1545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19190</v>
      </c>
      <c r="P52" s="195">
        <f>ROUND((B52/(CE76+CF76)*P76),0)</f>
        <v>44983</v>
      </c>
      <c r="Q52" s="195">
        <f>ROUND((B52/(CE76+CF76)*Q76),0)</f>
        <v>13174</v>
      </c>
      <c r="R52" s="195">
        <f>ROUND((B52/(CE76+CF76)*R76),0)</f>
        <v>0</v>
      </c>
      <c r="S52" s="195">
        <f>ROUND((B52/(CE76+CF76)*S76),0)</f>
        <v>17710</v>
      </c>
      <c r="T52" s="195">
        <f>ROUND((B52/(CE76+CF76)*T76),0)</f>
        <v>0</v>
      </c>
      <c r="U52" s="195">
        <f>ROUND((B52/(CE76+CF76)*U76),0)</f>
        <v>13196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58168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6397</v>
      </c>
      <c r="AC52" s="195">
        <f>ROUND((B52/(CE76+CF76)*AC76),0)</f>
        <v>4286</v>
      </c>
      <c r="AD52" s="195">
        <f>ROUND((B52/(CE76+CF76)*AD76),0)</f>
        <v>0</v>
      </c>
      <c r="AE52" s="195">
        <f>ROUND((B52/(CE76+CF76)*AE76),0)</f>
        <v>32027</v>
      </c>
      <c r="AF52" s="195">
        <f>ROUND((B52/(CE76+CF76)*AF76),0)</f>
        <v>0</v>
      </c>
      <c r="AG52" s="195">
        <f>ROUND((B52/(CE76+CF76)*AG76),0)</f>
        <v>39174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171111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25576</v>
      </c>
      <c r="AZ52" s="195">
        <f>ROUND((B52/(CE76+CF76)*AZ76),0)</f>
        <v>0</v>
      </c>
      <c r="BA52" s="195">
        <f>ROUND((B52/(CE76+CF76)*BA76),0)</f>
        <v>5505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3731</v>
      </c>
      <c r="BE52" s="195">
        <f>ROUND((B52/(CE76+CF76)*BE76),0)</f>
        <v>269062</v>
      </c>
      <c r="BF52" s="195">
        <f>ROUND((B52/(CE76+CF76)*BF76),0)</f>
        <v>3808</v>
      </c>
      <c r="BG52" s="195">
        <f>ROUND((B52/(CE76+CF76)*BG76),0)</f>
        <v>3177</v>
      </c>
      <c r="BH52" s="195">
        <f>ROUND((B52/(CE76+CF76)*BH76),0)</f>
        <v>7093</v>
      </c>
      <c r="BI52" s="195">
        <f>ROUND((B52/(CE76+CF76)*BI76),0)</f>
        <v>0</v>
      </c>
      <c r="BJ52" s="195">
        <f>ROUND((B52/(CE76+CF76)*BJ76),0)</f>
        <v>6690</v>
      </c>
      <c r="BK52" s="195">
        <f>ROUND((B52/(CE76+CF76)*BK76),0)</f>
        <v>19070</v>
      </c>
      <c r="BL52" s="195">
        <f>ROUND((B52/(CE76+CF76)*BL76),0)</f>
        <v>2741</v>
      </c>
      <c r="BM52" s="195">
        <f>ROUND((B52/(CE76+CF76)*BM76),0)</f>
        <v>0</v>
      </c>
      <c r="BN52" s="195">
        <f>ROUND((B52/(CE76+CF76)*BN76),0)</f>
        <v>7626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3514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16405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2883</v>
      </c>
      <c r="BZ52" s="195">
        <f>ROUND((B52/(CE76+CF76)*BZ76),0)</f>
        <v>0</v>
      </c>
      <c r="CA52" s="195">
        <f>ROUND((B52/(CE76+CF76)*CA76),0)</f>
        <v>30874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898350</v>
      </c>
    </row>
    <row r="53" spans="1:84" ht="12.65" customHeight="1" x14ac:dyDescent="0.35">
      <c r="A53" s="175" t="s">
        <v>206</v>
      </c>
      <c r="B53" s="195">
        <f>B51+B52</f>
        <v>2031934.98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5">
      <c r="A59" s="171" t="s">
        <v>233</v>
      </c>
      <c r="B59" s="175"/>
      <c r="C59" s="285"/>
      <c r="D59" s="285"/>
      <c r="E59" s="285">
        <v>1734</v>
      </c>
      <c r="F59" s="285"/>
      <c r="G59" s="285"/>
      <c r="H59" s="285"/>
      <c r="I59" s="285"/>
      <c r="J59" s="285">
        <v>377</v>
      </c>
      <c r="K59" s="285"/>
      <c r="L59" s="285"/>
      <c r="M59" s="285"/>
      <c r="N59" s="285"/>
      <c r="O59" s="285">
        <v>266</v>
      </c>
      <c r="P59" s="286">
        <v>105339</v>
      </c>
      <c r="Q59" s="286">
        <v>118412</v>
      </c>
      <c r="R59" s="286">
        <v>117096</v>
      </c>
      <c r="S59" s="247"/>
      <c r="T59" s="247"/>
      <c r="U59" s="287">
        <v>78116</v>
      </c>
      <c r="V59" s="286">
        <v>2196</v>
      </c>
      <c r="W59" s="286"/>
      <c r="X59" s="286"/>
      <c r="Y59" s="286">
        <v>15720</v>
      </c>
      <c r="Z59" s="286"/>
      <c r="AA59" s="286"/>
      <c r="AB59" s="247"/>
      <c r="AC59" s="286">
        <v>2938</v>
      </c>
      <c r="AD59" s="286"/>
      <c r="AE59" s="286">
        <v>10175</v>
      </c>
      <c r="AF59" s="286"/>
      <c r="AG59" s="286">
        <v>8307</v>
      </c>
      <c r="AH59" s="286"/>
      <c r="AI59" s="286"/>
      <c r="AJ59" s="286"/>
      <c r="AK59" s="286"/>
      <c r="AL59" s="286"/>
      <c r="AM59" s="286"/>
      <c r="AN59" s="286"/>
      <c r="AO59" s="286"/>
      <c r="AP59" s="286">
        <v>19595</v>
      </c>
      <c r="AQ59" s="286"/>
      <c r="AR59" s="286"/>
      <c r="AS59" s="286"/>
      <c r="AT59" s="286"/>
      <c r="AU59" s="286"/>
      <c r="AV59" s="247"/>
      <c r="AW59" s="247"/>
      <c r="AX59" s="247"/>
      <c r="AY59" s="286">
        <v>8264</v>
      </c>
      <c r="AZ59" s="286"/>
      <c r="BA59" s="247"/>
      <c r="BB59" s="247"/>
      <c r="BC59" s="247"/>
      <c r="BD59" s="247"/>
      <c r="BE59" s="286">
        <v>82579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5" customHeight="1" x14ac:dyDescent="0.35">
      <c r="A60" s="249" t="s">
        <v>234</v>
      </c>
      <c r="B60" s="175"/>
      <c r="C60" s="288"/>
      <c r="D60" s="289"/>
      <c r="E60" s="289">
        <v>25.62</v>
      </c>
      <c r="F60" s="290">
        <v>2.17</v>
      </c>
      <c r="G60" s="289"/>
      <c r="H60" s="289"/>
      <c r="I60" s="289"/>
      <c r="J60" s="290"/>
      <c r="K60" s="289"/>
      <c r="L60" s="289"/>
      <c r="M60" s="289"/>
      <c r="N60" s="289"/>
      <c r="O60" s="289">
        <v>6.99</v>
      </c>
      <c r="P60" s="291">
        <v>10.93</v>
      </c>
      <c r="Q60" s="291">
        <v>5.93</v>
      </c>
      <c r="R60" s="291"/>
      <c r="S60" s="291">
        <v>2.04</v>
      </c>
      <c r="T60" s="291"/>
      <c r="U60" s="291">
        <v>8.82</v>
      </c>
      <c r="V60" s="291"/>
      <c r="W60" s="291"/>
      <c r="X60" s="291"/>
      <c r="Y60" s="291">
        <v>10.35</v>
      </c>
      <c r="Z60" s="291"/>
      <c r="AA60" s="291"/>
      <c r="AB60" s="291">
        <v>2.1</v>
      </c>
      <c r="AC60" s="291">
        <v>2.85</v>
      </c>
      <c r="AD60" s="291"/>
      <c r="AE60" s="291">
        <v>7.17</v>
      </c>
      <c r="AF60" s="291"/>
      <c r="AG60" s="291">
        <v>15.45</v>
      </c>
      <c r="AH60" s="291"/>
      <c r="AI60" s="291"/>
      <c r="AJ60" s="291"/>
      <c r="AK60" s="291"/>
      <c r="AL60" s="291"/>
      <c r="AM60" s="291"/>
      <c r="AN60" s="291"/>
      <c r="AO60" s="291"/>
      <c r="AP60" s="291">
        <v>42.54</v>
      </c>
      <c r="AQ60" s="291"/>
      <c r="AR60" s="291"/>
      <c r="AS60" s="291"/>
      <c r="AT60" s="291"/>
      <c r="AU60" s="291"/>
      <c r="AV60" s="291"/>
      <c r="AW60" s="291"/>
      <c r="AX60" s="291"/>
      <c r="AY60" s="291">
        <v>7.15</v>
      </c>
      <c r="AZ60" s="291"/>
      <c r="BA60" s="291"/>
      <c r="BB60" s="291"/>
      <c r="BC60" s="291"/>
      <c r="BD60" s="291">
        <v>2.1800000000000002</v>
      </c>
      <c r="BE60" s="291">
        <v>3.47</v>
      </c>
      <c r="BF60" s="291">
        <v>10.65</v>
      </c>
      <c r="BG60" s="291">
        <v>0.59</v>
      </c>
      <c r="BH60" s="291">
        <v>3.92</v>
      </c>
      <c r="BI60" s="291"/>
      <c r="BJ60" s="291">
        <v>5.27</v>
      </c>
      <c r="BK60" s="291">
        <v>13.59</v>
      </c>
      <c r="BL60" s="291">
        <v>6.9</v>
      </c>
      <c r="BM60" s="291"/>
      <c r="BN60" s="291">
        <v>4.58</v>
      </c>
      <c r="BO60" s="291">
        <v>2.27</v>
      </c>
      <c r="BP60" s="291"/>
      <c r="BQ60" s="291"/>
      <c r="BR60" s="291">
        <v>2.04</v>
      </c>
      <c r="BS60" s="291"/>
      <c r="BT60" s="291"/>
      <c r="BU60" s="291"/>
      <c r="BV60" s="291">
        <v>7.85</v>
      </c>
      <c r="BW60" s="291"/>
      <c r="BX60" s="291">
        <v>1.1599999999999999</v>
      </c>
      <c r="BY60" s="291">
        <v>2.63</v>
      </c>
      <c r="BZ60" s="291"/>
      <c r="CA60" s="291">
        <v>0.04</v>
      </c>
      <c r="CB60" s="291"/>
      <c r="CC60" s="291">
        <v>0.1</v>
      </c>
      <c r="CD60" s="248" t="s">
        <v>221</v>
      </c>
      <c r="CE60" s="250">
        <f t="shared" ref="CE60:CE70" si="0">SUM(C60:CD60)</f>
        <v>217.35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2040674.65</v>
      </c>
      <c r="F61" s="185">
        <v>226936.84</v>
      </c>
      <c r="G61" s="184"/>
      <c r="H61" s="184"/>
      <c r="I61" s="185"/>
      <c r="J61" s="185"/>
      <c r="K61" s="185"/>
      <c r="L61" s="185"/>
      <c r="M61" s="184"/>
      <c r="N61" s="184"/>
      <c r="O61" s="184">
        <v>655451.92000000004</v>
      </c>
      <c r="P61" s="185">
        <v>791921.59</v>
      </c>
      <c r="Q61" s="185">
        <v>529514.81999999995</v>
      </c>
      <c r="R61" s="185">
        <v>0</v>
      </c>
      <c r="S61" s="185">
        <v>53682.93</v>
      </c>
      <c r="T61" s="185"/>
      <c r="U61" s="185">
        <v>567128.80000000005</v>
      </c>
      <c r="V61" s="185"/>
      <c r="W61" s="185"/>
      <c r="X61" s="185"/>
      <c r="Y61" s="185">
        <v>796204.56</v>
      </c>
      <c r="Z61" s="185"/>
      <c r="AA61" s="185"/>
      <c r="AB61" s="185">
        <v>194445.67</v>
      </c>
      <c r="AC61" s="185">
        <v>234854.01</v>
      </c>
      <c r="AD61" s="185"/>
      <c r="AE61" s="185">
        <v>458318.19</v>
      </c>
      <c r="AF61" s="185"/>
      <c r="AG61" s="185">
        <v>1403640.18</v>
      </c>
      <c r="AH61" s="185"/>
      <c r="AI61" s="185"/>
      <c r="AJ61" s="185"/>
      <c r="AK61" s="185"/>
      <c r="AL61" s="185"/>
      <c r="AM61" s="185"/>
      <c r="AN61" s="185"/>
      <c r="AO61" s="185"/>
      <c r="AP61" s="185">
        <v>4496279.9800000004</v>
      </c>
      <c r="AQ61" s="185"/>
      <c r="AR61" s="185"/>
      <c r="AS61" s="185"/>
      <c r="AT61" s="185"/>
      <c r="AU61" s="185"/>
      <c r="AV61" s="185"/>
      <c r="AW61" s="185"/>
      <c r="AX61" s="185"/>
      <c r="AY61" s="185">
        <v>284980.28000000003</v>
      </c>
      <c r="AZ61" s="185"/>
      <c r="BA61" s="185">
        <v>0</v>
      </c>
      <c r="BB61" s="185"/>
      <c r="BC61" s="185"/>
      <c r="BD61" s="185">
        <v>115644.11</v>
      </c>
      <c r="BE61" s="185">
        <v>204750.89</v>
      </c>
      <c r="BF61" s="185">
        <v>329253.87</v>
      </c>
      <c r="BG61" s="185">
        <v>32529.56</v>
      </c>
      <c r="BH61" s="185">
        <v>283757.51</v>
      </c>
      <c r="BI61" s="185"/>
      <c r="BJ61" s="185">
        <v>472230.25</v>
      </c>
      <c r="BK61" s="185">
        <v>540901.13</v>
      </c>
      <c r="BL61" s="185">
        <v>158877.63</v>
      </c>
      <c r="BM61" s="185"/>
      <c r="BN61" s="185">
        <v>640547.93999999994</v>
      </c>
      <c r="BO61" s="185">
        <v>268114.46999999997</v>
      </c>
      <c r="BP61" s="185"/>
      <c r="BQ61" s="185"/>
      <c r="BR61" s="185">
        <v>188301.92</v>
      </c>
      <c r="BS61" s="185"/>
      <c r="BT61" s="185"/>
      <c r="BU61" s="185"/>
      <c r="BV61" s="185">
        <v>372786.57</v>
      </c>
      <c r="BW61" s="185"/>
      <c r="BX61" s="185">
        <v>82860.58</v>
      </c>
      <c r="BY61" s="185">
        <v>221742.59</v>
      </c>
      <c r="BZ61" s="185"/>
      <c r="CA61" s="185">
        <v>4146.26</v>
      </c>
      <c r="CB61" s="185"/>
      <c r="CC61" s="185">
        <v>25380.57</v>
      </c>
      <c r="CD61" s="248" t="s">
        <v>221</v>
      </c>
      <c r="CE61" s="195">
        <f t="shared" si="0"/>
        <v>16675860.270000001</v>
      </c>
      <c r="CF61" s="251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484931</v>
      </c>
      <c r="F62" s="195">
        <f t="shared" si="1"/>
        <v>29407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151567</v>
      </c>
      <c r="P62" s="195">
        <f t="shared" si="1"/>
        <v>197341</v>
      </c>
      <c r="Q62" s="195">
        <f t="shared" si="1"/>
        <v>121538</v>
      </c>
      <c r="R62" s="195">
        <f t="shared" si="1"/>
        <v>0</v>
      </c>
      <c r="S62" s="195">
        <f t="shared" si="1"/>
        <v>28813</v>
      </c>
      <c r="T62" s="195">
        <f t="shared" si="1"/>
        <v>0</v>
      </c>
      <c r="U62" s="195">
        <f t="shared" si="1"/>
        <v>149379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190778</v>
      </c>
      <c r="Z62" s="195">
        <f t="shared" si="1"/>
        <v>0</v>
      </c>
      <c r="AA62" s="195">
        <f t="shared" si="1"/>
        <v>0</v>
      </c>
      <c r="AB62" s="195">
        <f t="shared" si="1"/>
        <v>43753</v>
      </c>
      <c r="AC62" s="195">
        <f t="shared" si="1"/>
        <v>60158</v>
      </c>
      <c r="AD62" s="195">
        <f t="shared" si="1"/>
        <v>0</v>
      </c>
      <c r="AE62" s="195">
        <f t="shared" si="1"/>
        <v>133440</v>
      </c>
      <c r="AF62" s="195">
        <f t="shared" si="1"/>
        <v>0</v>
      </c>
      <c r="AG62" s="195">
        <f t="shared" si="1"/>
        <v>308990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836528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97485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35698</v>
      </c>
      <c r="BE62" s="195">
        <f t="shared" si="1"/>
        <v>55824</v>
      </c>
      <c r="BF62" s="195">
        <f t="shared" si="1"/>
        <v>125640</v>
      </c>
      <c r="BG62" s="195">
        <f t="shared" si="1"/>
        <v>16341</v>
      </c>
      <c r="BH62" s="195">
        <f t="shared" si="1"/>
        <v>81827</v>
      </c>
      <c r="BI62" s="195">
        <f t="shared" si="1"/>
        <v>0</v>
      </c>
      <c r="BJ62" s="195">
        <f t="shared" si="1"/>
        <v>106839</v>
      </c>
      <c r="BK62" s="195">
        <f t="shared" si="1"/>
        <v>205141</v>
      </c>
      <c r="BL62" s="195">
        <f t="shared" si="1"/>
        <v>92492</v>
      </c>
      <c r="BM62" s="195">
        <f t="shared" si="1"/>
        <v>0</v>
      </c>
      <c r="BN62" s="195">
        <f t="shared" si="1"/>
        <v>117285</v>
      </c>
      <c r="BO62" s="195">
        <f t="shared" ref="BO62:CC62" si="2">ROUND(BO47+BO48,0)</f>
        <v>38307</v>
      </c>
      <c r="BP62" s="195">
        <f t="shared" si="2"/>
        <v>0</v>
      </c>
      <c r="BQ62" s="195">
        <f t="shared" si="2"/>
        <v>0</v>
      </c>
      <c r="BR62" s="195">
        <f t="shared" si="2"/>
        <v>44488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115125</v>
      </c>
      <c r="BW62" s="195">
        <f t="shared" si="2"/>
        <v>0</v>
      </c>
      <c r="BX62" s="195">
        <f t="shared" si="2"/>
        <v>21666</v>
      </c>
      <c r="BY62" s="195">
        <f t="shared" si="2"/>
        <v>56063</v>
      </c>
      <c r="BZ62" s="195">
        <f t="shared" si="2"/>
        <v>0</v>
      </c>
      <c r="CA62" s="195">
        <f t="shared" si="2"/>
        <v>882</v>
      </c>
      <c r="CB62" s="195">
        <f t="shared" si="2"/>
        <v>0</v>
      </c>
      <c r="CC62" s="195">
        <f t="shared" si="2"/>
        <v>2198</v>
      </c>
      <c r="CD62" s="248" t="s">
        <v>221</v>
      </c>
      <c r="CE62" s="195">
        <f t="shared" si="0"/>
        <v>3949924</v>
      </c>
      <c r="CF62" s="251"/>
    </row>
    <row r="63" spans="1:84" ht="12.65" customHeight="1" x14ac:dyDescent="0.35">
      <c r="A63" s="171" t="s">
        <v>236</v>
      </c>
      <c r="B63" s="175"/>
      <c r="C63" s="184"/>
      <c r="D63" s="184"/>
      <c r="E63" s="184">
        <v>101349.07</v>
      </c>
      <c r="F63" s="185">
        <v>75600</v>
      </c>
      <c r="G63" s="184"/>
      <c r="H63" s="184"/>
      <c r="I63" s="185"/>
      <c r="J63" s="185"/>
      <c r="K63" s="185"/>
      <c r="L63" s="185"/>
      <c r="M63" s="184"/>
      <c r="N63" s="184"/>
      <c r="O63" s="184">
        <v>246174.06</v>
      </c>
      <c r="P63" s="185">
        <v>0</v>
      </c>
      <c r="Q63" s="185">
        <v>0</v>
      </c>
      <c r="R63" s="185">
        <v>865100.77</v>
      </c>
      <c r="S63" s="185">
        <v>0</v>
      </c>
      <c r="T63" s="185"/>
      <c r="U63" s="185">
        <v>87272.6</v>
      </c>
      <c r="V63" s="185"/>
      <c r="W63" s="185"/>
      <c r="X63" s="185"/>
      <c r="Y63" s="185">
        <v>908930.63</v>
      </c>
      <c r="Z63" s="185"/>
      <c r="AA63" s="185"/>
      <c r="AB63" s="185">
        <v>87009.36</v>
      </c>
      <c r="AC63" s="185">
        <v>0</v>
      </c>
      <c r="AD63" s="185"/>
      <c r="AE63" s="185">
        <v>0</v>
      </c>
      <c r="AF63" s="185"/>
      <c r="AG63" s="185">
        <v>2244659.48</v>
      </c>
      <c r="AH63" s="185"/>
      <c r="AI63" s="185"/>
      <c r="AJ63" s="185"/>
      <c r="AK63" s="185"/>
      <c r="AL63" s="185"/>
      <c r="AM63" s="185"/>
      <c r="AN63" s="185"/>
      <c r="AO63" s="185"/>
      <c r="AP63" s="185">
        <v>32655.599999999999</v>
      </c>
      <c r="AQ63" s="185"/>
      <c r="AR63" s="185"/>
      <c r="AS63" s="185"/>
      <c r="AT63" s="185"/>
      <c r="AU63" s="185"/>
      <c r="AV63" s="185"/>
      <c r="AW63" s="185"/>
      <c r="AX63" s="185"/>
      <c r="AY63" s="185">
        <v>0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68019.27</v>
      </c>
      <c r="BK63" s="185">
        <v>90235.82</v>
      </c>
      <c r="BL63" s="185"/>
      <c r="BM63" s="185"/>
      <c r="BN63" s="185">
        <v>30985</v>
      </c>
      <c r="BO63" s="185"/>
      <c r="BP63" s="185"/>
      <c r="BQ63" s="185"/>
      <c r="BR63" s="185">
        <v>3618</v>
      </c>
      <c r="BS63" s="185"/>
      <c r="BT63" s="185"/>
      <c r="BU63" s="185"/>
      <c r="BV63" s="185"/>
      <c r="BW63" s="185"/>
      <c r="BX63" s="185"/>
      <c r="BY63" s="185"/>
      <c r="BZ63" s="185"/>
      <c r="CA63" s="185">
        <v>0</v>
      </c>
      <c r="CB63" s="185"/>
      <c r="CC63" s="185"/>
      <c r="CD63" s="248" t="s">
        <v>221</v>
      </c>
      <c r="CE63" s="195">
        <f t="shared" si="0"/>
        <v>4841609.6599999992</v>
      </c>
      <c r="CF63" s="251"/>
    </row>
    <row r="64" spans="1:84" ht="12.65" customHeight="1" x14ac:dyDescent="0.35">
      <c r="A64" s="171" t="s">
        <v>237</v>
      </c>
      <c r="B64" s="175"/>
      <c r="C64" s="184"/>
      <c r="D64" s="184"/>
      <c r="E64" s="185">
        <v>124125.39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78545.73</v>
      </c>
      <c r="P64" s="185">
        <v>933870.52</v>
      </c>
      <c r="Q64" s="185">
        <v>25800.57</v>
      </c>
      <c r="R64" s="185">
        <v>8850.7800000000007</v>
      </c>
      <c r="S64" s="185">
        <v>1208105.9099999999</v>
      </c>
      <c r="T64" s="185"/>
      <c r="U64" s="185">
        <v>767531.98</v>
      </c>
      <c r="V64" s="185"/>
      <c r="W64" s="185"/>
      <c r="X64" s="185"/>
      <c r="Y64" s="185">
        <v>372856.41</v>
      </c>
      <c r="Z64" s="185"/>
      <c r="AA64" s="185"/>
      <c r="AB64" s="185">
        <v>595436.34</v>
      </c>
      <c r="AC64" s="185">
        <v>36498.25</v>
      </c>
      <c r="AD64" s="185"/>
      <c r="AE64" s="185">
        <v>6397</v>
      </c>
      <c r="AF64" s="185"/>
      <c r="AG64" s="185">
        <v>182624.12</v>
      </c>
      <c r="AH64" s="185"/>
      <c r="AI64" s="185"/>
      <c r="AJ64" s="185"/>
      <c r="AK64" s="185"/>
      <c r="AL64" s="185"/>
      <c r="AM64" s="185"/>
      <c r="AN64" s="185"/>
      <c r="AO64" s="185"/>
      <c r="AP64" s="185">
        <v>219624.03</v>
      </c>
      <c r="AQ64" s="185"/>
      <c r="AR64" s="185"/>
      <c r="AS64" s="185"/>
      <c r="AT64" s="185"/>
      <c r="AU64" s="185"/>
      <c r="AV64" s="185"/>
      <c r="AW64" s="185"/>
      <c r="AX64" s="185"/>
      <c r="AY64" s="185">
        <v>171566.53</v>
      </c>
      <c r="AZ64" s="185"/>
      <c r="BA64" s="185">
        <v>1216.8699999999999</v>
      </c>
      <c r="BB64" s="185"/>
      <c r="BC64" s="185"/>
      <c r="BD64" s="185">
        <v>348.86</v>
      </c>
      <c r="BE64" s="185">
        <v>45193.26</v>
      </c>
      <c r="BF64" s="185">
        <v>31762.41</v>
      </c>
      <c r="BG64" s="185"/>
      <c r="BH64" s="185">
        <v>27769.03</v>
      </c>
      <c r="BI64" s="185"/>
      <c r="BJ64" s="185">
        <v>15880.15</v>
      </c>
      <c r="BK64" s="185">
        <v>21755.78</v>
      </c>
      <c r="BL64" s="185">
        <v>17236.07</v>
      </c>
      <c r="BM64" s="185"/>
      <c r="BN64" s="185">
        <v>13054.2</v>
      </c>
      <c r="BO64" s="185">
        <v>7585.64</v>
      </c>
      <c r="BP64" s="185"/>
      <c r="BQ64" s="185"/>
      <c r="BR64" s="185">
        <v>855.62</v>
      </c>
      <c r="BS64" s="185"/>
      <c r="BT64" s="185"/>
      <c r="BU64" s="185"/>
      <c r="BV64" s="185">
        <v>283.45</v>
      </c>
      <c r="BW64" s="185"/>
      <c r="BX64" s="185"/>
      <c r="BY64" s="185">
        <v>268.04000000000002</v>
      </c>
      <c r="BZ64" s="185"/>
      <c r="CA64" s="185">
        <v>10866.58</v>
      </c>
      <c r="CB64" s="185"/>
      <c r="CC64" s="185"/>
      <c r="CD64" s="248" t="s">
        <v>221</v>
      </c>
      <c r="CE64" s="195">
        <f t="shared" si="0"/>
        <v>4925909.5200000023</v>
      </c>
      <c r="CF64" s="251"/>
    </row>
    <row r="65" spans="1:84" ht="12.65" customHeight="1" x14ac:dyDescent="0.3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/>
      <c r="X65" s="185"/>
      <c r="Y65" s="185"/>
      <c r="Z65" s="185"/>
      <c r="AA65" s="185"/>
      <c r="AB65" s="185"/>
      <c r="AC65" s="185"/>
      <c r="AD65" s="185"/>
      <c r="AE65" s="185">
        <v>0</v>
      </c>
      <c r="AF65" s="185"/>
      <c r="AG65" s="185">
        <v>0</v>
      </c>
      <c r="AH65" s="185"/>
      <c r="AI65" s="185"/>
      <c r="AJ65" s="185"/>
      <c r="AK65" s="185"/>
      <c r="AL65" s="185"/>
      <c r="AM65" s="185"/>
      <c r="AN65" s="185"/>
      <c r="AO65" s="185"/>
      <c r="AP65" s="185">
        <v>39462.269999999997</v>
      </c>
      <c r="AQ65" s="185"/>
      <c r="AR65" s="185"/>
      <c r="AS65" s="185"/>
      <c r="AT65" s="185"/>
      <c r="AU65" s="185"/>
      <c r="AV65" s="185"/>
      <c r="AW65" s="185"/>
      <c r="AX65" s="185"/>
      <c r="AY65" s="185">
        <v>0</v>
      </c>
      <c r="AZ65" s="185"/>
      <c r="BA65" s="185">
        <v>666.62</v>
      </c>
      <c r="BB65" s="185"/>
      <c r="BC65" s="185"/>
      <c r="BD65" s="185"/>
      <c r="BE65" s="185">
        <f>333784.14+144</f>
        <v>333928.14</v>
      </c>
      <c r="BF65" s="185"/>
      <c r="BG65" s="185">
        <v>80034.570000000007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f t="shared" si="0"/>
        <v>454091.60000000003</v>
      </c>
      <c r="CF65" s="251"/>
    </row>
    <row r="66" spans="1:84" ht="12.65" customHeight="1" x14ac:dyDescent="0.35">
      <c r="A66" s="171" t="s">
        <v>239</v>
      </c>
      <c r="B66" s="175"/>
      <c r="C66" s="184"/>
      <c r="D66" s="184"/>
      <c r="E66" s="184">
        <v>113907.01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29090.959999999999</v>
      </c>
      <c r="P66" s="185">
        <v>117238.93</v>
      </c>
      <c r="Q66" s="185">
        <v>2315.37</v>
      </c>
      <c r="R66" s="185">
        <v>16172.69</v>
      </c>
      <c r="S66" s="184">
        <v>2875.96</v>
      </c>
      <c r="T66" s="184"/>
      <c r="U66" s="185">
        <v>151951.89000000001</v>
      </c>
      <c r="V66" s="185"/>
      <c r="W66" s="185"/>
      <c r="X66" s="185"/>
      <c r="Y66" s="185">
        <v>484327.26</v>
      </c>
      <c r="Z66" s="185"/>
      <c r="AA66" s="185"/>
      <c r="AB66" s="185">
        <v>11782.39</v>
      </c>
      <c r="AC66" s="185">
        <v>7432.08</v>
      </c>
      <c r="AD66" s="185"/>
      <c r="AE66" s="185">
        <v>24006.69</v>
      </c>
      <c r="AF66" s="185"/>
      <c r="AG66" s="185">
        <v>136549.79999999999</v>
      </c>
      <c r="AH66" s="185"/>
      <c r="AI66" s="185"/>
      <c r="AJ66" s="185"/>
      <c r="AK66" s="185"/>
      <c r="AL66" s="185"/>
      <c r="AM66" s="185"/>
      <c r="AN66" s="185"/>
      <c r="AO66" s="185"/>
      <c r="AP66" s="185">
        <v>298133.36</v>
      </c>
      <c r="AQ66" s="185"/>
      <c r="AR66" s="185"/>
      <c r="AS66" s="185"/>
      <c r="AT66" s="185"/>
      <c r="AU66" s="185"/>
      <c r="AV66" s="185"/>
      <c r="AW66" s="185"/>
      <c r="AX66" s="185"/>
      <c r="AY66" s="185">
        <v>6487.82</v>
      </c>
      <c r="AZ66" s="185"/>
      <c r="BA66" s="185">
        <v>167778.21</v>
      </c>
      <c r="BB66" s="185"/>
      <c r="BC66" s="185"/>
      <c r="BD66" s="185">
        <v>6038.28</v>
      </c>
      <c r="BE66" s="185">
        <v>71937.259999999995</v>
      </c>
      <c r="BF66" s="185">
        <v>918.26</v>
      </c>
      <c r="BG66" s="185">
        <v>12131.9</v>
      </c>
      <c r="BH66" s="185">
        <v>368557.64</v>
      </c>
      <c r="BI66" s="185"/>
      <c r="BJ66" s="185">
        <v>56189.57</v>
      </c>
      <c r="BK66" s="185">
        <v>130323.09</v>
      </c>
      <c r="BL66" s="185">
        <v>6038.28</v>
      </c>
      <c r="BM66" s="185"/>
      <c r="BN66" s="185">
        <v>91902.15</v>
      </c>
      <c r="BO66" s="185"/>
      <c r="BP66" s="185"/>
      <c r="BQ66" s="185"/>
      <c r="BR66" s="185">
        <v>6590.41</v>
      </c>
      <c r="BS66" s="185"/>
      <c r="BT66" s="185"/>
      <c r="BU66" s="185"/>
      <c r="BV66" s="185">
        <v>93927.1</v>
      </c>
      <c r="BW66" s="185"/>
      <c r="BX66" s="185">
        <v>1509.6</v>
      </c>
      <c r="BY66" s="185">
        <v>225</v>
      </c>
      <c r="BZ66" s="185"/>
      <c r="CA66" s="185">
        <v>59491.44</v>
      </c>
      <c r="CB66" s="185"/>
      <c r="CC66" s="185"/>
      <c r="CD66" s="248" t="s">
        <v>221</v>
      </c>
      <c r="CE66" s="195">
        <f t="shared" si="0"/>
        <v>2475830.4000000004</v>
      </c>
      <c r="CF66" s="251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109301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2204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33232</v>
      </c>
      <c r="P67" s="195">
        <f t="shared" si="3"/>
        <v>326117</v>
      </c>
      <c r="Q67" s="195">
        <f t="shared" si="3"/>
        <v>27188</v>
      </c>
      <c r="R67" s="195">
        <f t="shared" si="3"/>
        <v>0</v>
      </c>
      <c r="S67" s="195">
        <f t="shared" si="3"/>
        <v>18397</v>
      </c>
      <c r="T67" s="195">
        <f t="shared" si="3"/>
        <v>0</v>
      </c>
      <c r="U67" s="195">
        <f t="shared" si="3"/>
        <v>43215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511107</v>
      </c>
      <c r="Z67" s="195">
        <f t="shared" si="3"/>
        <v>0</v>
      </c>
      <c r="AA67" s="195">
        <f t="shared" si="3"/>
        <v>0</v>
      </c>
      <c r="AB67" s="195">
        <f t="shared" si="3"/>
        <v>6397</v>
      </c>
      <c r="AC67" s="195">
        <f t="shared" si="3"/>
        <v>5461</v>
      </c>
      <c r="AD67" s="195">
        <f t="shared" si="3"/>
        <v>0</v>
      </c>
      <c r="AE67" s="195">
        <f t="shared" si="3"/>
        <v>32027</v>
      </c>
      <c r="AF67" s="195">
        <f t="shared" si="3"/>
        <v>0</v>
      </c>
      <c r="AG67" s="195">
        <f t="shared" si="3"/>
        <v>181269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217884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32567</v>
      </c>
      <c r="AZ67" s="195">
        <f>ROUND(AZ51+AZ52,0)</f>
        <v>0</v>
      </c>
      <c r="BA67" s="195">
        <f>ROUND(BA51+BA52,0)</f>
        <v>5505</v>
      </c>
      <c r="BB67" s="195">
        <f t="shared" si="3"/>
        <v>0</v>
      </c>
      <c r="BC67" s="195">
        <f t="shared" si="3"/>
        <v>0</v>
      </c>
      <c r="BD67" s="195">
        <f t="shared" si="3"/>
        <v>3731</v>
      </c>
      <c r="BE67" s="195">
        <f t="shared" si="3"/>
        <v>317694</v>
      </c>
      <c r="BF67" s="195">
        <f t="shared" si="3"/>
        <v>3808</v>
      </c>
      <c r="BG67" s="195">
        <f t="shared" si="3"/>
        <v>3177</v>
      </c>
      <c r="BH67" s="195">
        <f t="shared" si="3"/>
        <v>47895</v>
      </c>
      <c r="BI67" s="195">
        <f t="shared" si="3"/>
        <v>0</v>
      </c>
      <c r="BJ67" s="195">
        <f t="shared" si="3"/>
        <v>16197</v>
      </c>
      <c r="BK67" s="195">
        <f t="shared" si="3"/>
        <v>19070</v>
      </c>
      <c r="BL67" s="195">
        <f t="shared" si="3"/>
        <v>2741</v>
      </c>
      <c r="BM67" s="195">
        <f t="shared" si="3"/>
        <v>0</v>
      </c>
      <c r="BN67" s="195">
        <f t="shared" si="3"/>
        <v>7626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3514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16817</v>
      </c>
      <c r="BW67" s="195">
        <f t="shared" si="4"/>
        <v>0</v>
      </c>
      <c r="BX67" s="195">
        <f t="shared" si="4"/>
        <v>0</v>
      </c>
      <c r="BY67" s="195">
        <f t="shared" si="4"/>
        <v>2883</v>
      </c>
      <c r="BZ67" s="195">
        <f t="shared" si="4"/>
        <v>0</v>
      </c>
      <c r="CA67" s="195">
        <f t="shared" si="4"/>
        <v>34911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2031935</v>
      </c>
      <c r="CF67" s="251"/>
    </row>
    <row r="68" spans="1:84" ht="12.65" customHeight="1" x14ac:dyDescent="0.35">
      <c r="A68" s="171" t="s">
        <v>240</v>
      </c>
      <c r="B68" s="175"/>
      <c r="C68" s="184"/>
      <c r="D68" s="184"/>
      <c r="E68" s="184">
        <v>29832.21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6946.8</v>
      </c>
      <c r="P68" s="185">
        <v>5187.2700000000004</v>
      </c>
      <c r="Q68" s="185">
        <v>5109.78</v>
      </c>
      <c r="R68" s="185">
        <v>12286.89</v>
      </c>
      <c r="S68" s="185">
        <v>0</v>
      </c>
      <c r="T68" s="185"/>
      <c r="U68" s="185">
        <v>38059.81</v>
      </c>
      <c r="V68" s="185"/>
      <c r="W68" s="185"/>
      <c r="X68" s="185"/>
      <c r="Y68" s="185">
        <v>75122.460000000006</v>
      </c>
      <c r="Z68" s="185"/>
      <c r="AA68" s="185"/>
      <c r="AB68" s="185">
        <v>4264.6499999999996</v>
      </c>
      <c r="AC68" s="185">
        <v>21431.57</v>
      </c>
      <c r="AD68" s="185"/>
      <c r="AE68" s="185">
        <v>866.07</v>
      </c>
      <c r="AF68" s="185"/>
      <c r="AG68" s="185">
        <v>13383.7</v>
      </c>
      <c r="AH68" s="185"/>
      <c r="AI68" s="185"/>
      <c r="AJ68" s="185"/>
      <c r="AK68" s="185"/>
      <c r="AL68" s="185"/>
      <c r="AM68" s="185"/>
      <c r="AN68" s="185"/>
      <c r="AO68" s="185"/>
      <c r="AP68" s="185">
        <v>13962.04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0</v>
      </c>
      <c r="BF68" s="185"/>
      <c r="BG68" s="185">
        <v>2247.84</v>
      </c>
      <c r="BH68" s="185">
        <v>9000</v>
      </c>
      <c r="BI68" s="185"/>
      <c r="BJ68" s="185">
        <v>9121.89</v>
      </c>
      <c r="BK68" s="185">
        <v>16452.599999999999</v>
      </c>
      <c r="BL68" s="185">
        <v>927.75</v>
      </c>
      <c r="BM68" s="185"/>
      <c r="BN68" s="185">
        <v>7110.88</v>
      </c>
      <c r="BO68" s="185"/>
      <c r="BP68" s="185"/>
      <c r="BQ68" s="185"/>
      <c r="BR68" s="185"/>
      <c r="BS68" s="185"/>
      <c r="BT68" s="185"/>
      <c r="BU68" s="185"/>
      <c r="BV68" s="185">
        <v>1159.68</v>
      </c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272473.89</v>
      </c>
      <c r="CF68" s="251"/>
    </row>
    <row r="69" spans="1:84" ht="11.25" customHeight="1" x14ac:dyDescent="0.35">
      <c r="A69" s="171" t="s">
        <v>241</v>
      </c>
      <c r="B69" s="175"/>
      <c r="C69" s="184"/>
      <c r="D69" s="184"/>
      <c r="E69" s="185">
        <v>3052.36</v>
      </c>
      <c r="F69" s="185">
        <v>3600</v>
      </c>
      <c r="G69" s="184"/>
      <c r="H69" s="184"/>
      <c r="I69" s="185"/>
      <c r="J69" s="185"/>
      <c r="K69" s="185"/>
      <c r="L69" s="185"/>
      <c r="M69" s="184"/>
      <c r="N69" s="184"/>
      <c r="O69" s="184">
        <v>3755.57</v>
      </c>
      <c r="P69" s="185">
        <v>15707.53</v>
      </c>
      <c r="Q69" s="185">
        <v>38.6</v>
      </c>
      <c r="R69" s="224">
        <v>0</v>
      </c>
      <c r="S69" s="185">
        <v>9742.25</v>
      </c>
      <c r="T69" s="184"/>
      <c r="U69" s="185">
        <v>29144.66</v>
      </c>
      <c r="V69" s="185"/>
      <c r="W69" s="184"/>
      <c r="X69" s="185"/>
      <c r="Y69" s="185">
        <v>5595.7</v>
      </c>
      <c r="Z69" s="185"/>
      <c r="AA69" s="185"/>
      <c r="AB69" s="185">
        <v>2056.29</v>
      </c>
      <c r="AC69" s="185">
        <v>2111.83</v>
      </c>
      <c r="AD69" s="185"/>
      <c r="AE69" s="185">
        <v>6199.69</v>
      </c>
      <c r="AF69" s="185"/>
      <c r="AG69" s="185">
        <v>1664.65</v>
      </c>
      <c r="AH69" s="185"/>
      <c r="AI69" s="185"/>
      <c r="AJ69" s="185"/>
      <c r="AK69" s="185"/>
      <c r="AL69" s="185"/>
      <c r="AM69" s="185"/>
      <c r="AN69" s="185"/>
      <c r="AO69" s="184"/>
      <c r="AP69" s="185">
        <v>239024.19</v>
      </c>
      <c r="AQ69" s="184"/>
      <c r="AR69" s="184"/>
      <c r="AS69" s="184"/>
      <c r="AT69" s="184"/>
      <c r="AU69" s="185"/>
      <c r="AV69" s="185"/>
      <c r="AW69" s="185"/>
      <c r="AX69" s="185"/>
      <c r="AY69" s="185">
        <v>843.63</v>
      </c>
      <c r="AZ69" s="185"/>
      <c r="BA69" s="185"/>
      <c r="BB69" s="185"/>
      <c r="BC69" s="185"/>
      <c r="BD69" s="185">
        <v>369.42</v>
      </c>
      <c r="BE69" s="185">
        <v>1096.07</v>
      </c>
      <c r="BF69" s="185">
        <v>388.53</v>
      </c>
      <c r="BG69" s="185"/>
      <c r="BH69" s="224">
        <v>3421.53</v>
      </c>
      <c r="BI69" s="185"/>
      <c r="BJ69" s="185">
        <v>8162.42</v>
      </c>
      <c r="BK69" s="185">
        <v>1230.6199999999999</v>
      </c>
      <c r="BL69" s="185">
        <v>-20.94</v>
      </c>
      <c r="BM69" s="185"/>
      <c r="BN69" s="185">
        <v>67463.62</v>
      </c>
      <c r="BO69" s="185">
        <f>124.19</f>
        <v>124.19</v>
      </c>
      <c r="BP69" s="185"/>
      <c r="BQ69" s="185"/>
      <c r="BR69" s="185">
        <v>62147.12</v>
      </c>
      <c r="BS69" s="185"/>
      <c r="BT69" s="185"/>
      <c r="BU69" s="185"/>
      <c r="BV69" s="185">
        <v>756.07</v>
      </c>
      <c r="BW69" s="185"/>
      <c r="BX69" s="185">
        <v>4664.83</v>
      </c>
      <c r="BY69" s="185">
        <v>677.07</v>
      </c>
      <c r="BZ69" s="185"/>
      <c r="CA69" s="185">
        <v>-254.53</v>
      </c>
      <c r="CB69" s="185"/>
      <c r="CC69" s="185">
        <v>466.35</v>
      </c>
      <c r="CD69" s="188">
        <v>524601.13</v>
      </c>
      <c r="CE69" s="195">
        <f t="shared" si="0"/>
        <v>997830.45</v>
      </c>
      <c r="CF69" s="251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0</v>
      </c>
      <c r="P70" s="184"/>
      <c r="Q70" s="184"/>
      <c r="R70" s="184"/>
      <c r="S70" s="184">
        <v>8033.88</v>
      </c>
      <c r="T70" s="184"/>
      <c r="U70" s="185">
        <v>6650</v>
      </c>
      <c r="V70" s="184"/>
      <c r="W70" s="184"/>
      <c r="X70" s="185"/>
      <c r="Y70" s="185"/>
      <c r="Z70" s="185"/>
      <c r="AA70" s="185"/>
      <c r="AB70" s="185">
        <v>461004.44</v>
      </c>
      <c r="AC70" s="185">
        <v>0</v>
      </c>
      <c r="AD70" s="185"/>
      <c r="AE70" s="185">
        <v>13692.68</v>
      </c>
      <c r="AF70" s="185"/>
      <c r="AG70" s="185">
        <v>0</v>
      </c>
      <c r="AH70" s="185"/>
      <c r="AI70" s="185"/>
      <c r="AJ70" s="185"/>
      <c r="AK70" s="185"/>
      <c r="AL70" s="185"/>
      <c r="AM70" s="185"/>
      <c r="AN70" s="185"/>
      <c r="AO70" s="185"/>
      <c r="AP70" s="185">
        <v>172802.98</v>
      </c>
      <c r="AQ70" s="185"/>
      <c r="AR70" s="185"/>
      <c r="AS70" s="185"/>
      <c r="AT70" s="185"/>
      <c r="AU70" s="185"/>
      <c r="AV70" s="185"/>
      <c r="AW70" s="185"/>
      <c r="AX70" s="185"/>
      <c r="AY70" s="185">
        <v>114386.4</v>
      </c>
      <c r="AZ70" s="185"/>
      <c r="BA70" s="185"/>
      <c r="BB70" s="185"/>
      <c r="BC70" s="185"/>
      <c r="BD70" s="185"/>
      <c r="BE70" s="185"/>
      <c r="BF70" s="185"/>
      <c r="BG70" s="185">
        <v>1597.5</v>
      </c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13379.9</v>
      </c>
      <c r="BW70" s="185"/>
      <c r="BX70" s="185"/>
      <c r="BY70" s="185"/>
      <c r="BZ70" s="185"/>
      <c r="CA70" s="185">
        <v>250</v>
      </c>
      <c r="CB70" s="185"/>
      <c r="CC70" s="185"/>
      <c r="CD70" s="188">
        <v>172984.44</v>
      </c>
      <c r="CE70" s="195">
        <f t="shared" si="0"/>
        <v>964782.22</v>
      </c>
      <c r="CF70" s="251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3007172.6899999995</v>
      </c>
      <c r="F71" s="195">
        <f t="shared" si="5"/>
        <v>335543.83999999997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2204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1204764.04</v>
      </c>
      <c r="P71" s="195">
        <f t="shared" si="5"/>
        <v>2387383.84</v>
      </c>
      <c r="Q71" s="195">
        <f t="shared" si="5"/>
        <v>711505.1399999999</v>
      </c>
      <c r="R71" s="195">
        <f t="shared" si="5"/>
        <v>902411.13</v>
      </c>
      <c r="S71" s="195">
        <f t="shared" si="5"/>
        <v>1313583.17</v>
      </c>
      <c r="T71" s="195">
        <f t="shared" si="5"/>
        <v>0</v>
      </c>
      <c r="U71" s="195">
        <f t="shared" si="5"/>
        <v>1827033.74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3344922.0200000005</v>
      </c>
      <c r="Z71" s="195">
        <f t="shared" si="5"/>
        <v>0</v>
      </c>
      <c r="AA71" s="195">
        <f t="shared" si="5"/>
        <v>0</v>
      </c>
      <c r="AB71" s="195">
        <f t="shared" si="5"/>
        <v>484140.26000000007</v>
      </c>
      <c r="AC71" s="195">
        <f t="shared" si="5"/>
        <v>367946.74000000005</v>
      </c>
      <c r="AD71" s="195">
        <f t="shared" si="5"/>
        <v>0</v>
      </c>
      <c r="AE71" s="195">
        <f t="shared" si="5"/>
        <v>647561.95999999973</v>
      </c>
      <c r="AF71" s="195">
        <f t="shared" si="5"/>
        <v>0</v>
      </c>
      <c r="AG71" s="195">
        <f t="shared" si="5"/>
        <v>4472780.9300000006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6220750.4900000002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479543.86</v>
      </c>
      <c r="AZ71" s="195">
        <f t="shared" si="6"/>
        <v>0</v>
      </c>
      <c r="BA71" s="195">
        <f t="shared" si="6"/>
        <v>175166.69999999998</v>
      </c>
      <c r="BB71" s="195">
        <f t="shared" si="6"/>
        <v>0</v>
      </c>
      <c r="BC71" s="195">
        <f t="shared" si="6"/>
        <v>0</v>
      </c>
      <c r="BD71" s="195">
        <f t="shared" si="6"/>
        <v>161829.66999999998</v>
      </c>
      <c r="BE71" s="195">
        <f t="shared" si="6"/>
        <v>1030423.62</v>
      </c>
      <c r="BF71" s="195">
        <f t="shared" si="6"/>
        <v>491771.07</v>
      </c>
      <c r="BG71" s="195">
        <f t="shared" si="6"/>
        <v>144864.37</v>
      </c>
      <c r="BH71" s="195">
        <f t="shared" si="6"/>
        <v>822227.71000000008</v>
      </c>
      <c r="BI71" s="195">
        <f t="shared" si="6"/>
        <v>0</v>
      </c>
      <c r="BJ71" s="195">
        <f t="shared" si="6"/>
        <v>752639.55</v>
      </c>
      <c r="BK71" s="195">
        <f t="shared" si="6"/>
        <v>1025110.0399999999</v>
      </c>
      <c r="BL71" s="195">
        <f t="shared" si="6"/>
        <v>278291.79000000004</v>
      </c>
      <c r="BM71" s="195">
        <f t="shared" si="6"/>
        <v>0</v>
      </c>
      <c r="BN71" s="195">
        <f t="shared" si="6"/>
        <v>975974.78999999992</v>
      </c>
      <c r="BO71" s="195">
        <f t="shared" si="6"/>
        <v>314131.3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309515.07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587474.97</v>
      </c>
      <c r="BW71" s="195">
        <f t="shared" si="7"/>
        <v>0</v>
      </c>
      <c r="BX71" s="195">
        <f t="shared" si="7"/>
        <v>110701.01000000001</v>
      </c>
      <c r="BY71" s="195">
        <f t="shared" si="7"/>
        <v>281858.69999999995</v>
      </c>
      <c r="BZ71" s="195">
        <f t="shared" si="7"/>
        <v>0</v>
      </c>
      <c r="CA71" s="195">
        <f t="shared" si="7"/>
        <v>109792.75</v>
      </c>
      <c r="CB71" s="195">
        <f t="shared" si="7"/>
        <v>0</v>
      </c>
      <c r="CC71" s="195">
        <f t="shared" si="7"/>
        <v>28044.92</v>
      </c>
      <c r="CD71" s="244">
        <f>CD69-CD70</f>
        <v>351616.69</v>
      </c>
      <c r="CE71" s="195">
        <f>SUM(CE61:CE69)-CE70</f>
        <v>35660682.570000015</v>
      </c>
      <c r="CF71" s="251"/>
    </row>
    <row r="72" spans="1:84" ht="12.65" customHeight="1" x14ac:dyDescent="0.3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1045047.69</v>
      </c>
      <c r="CF72" s="251"/>
    </row>
    <row r="73" spans="1:84" ht="12.65" customHeight="1" x14ac:dyDescent="0.35">
      <c r="A73" s="171" t="s">
        <v>245</v>
      </c>
      <c r="B73" s="175"/>
      <c r="C73" s="184"/>
      <c r="D73" s="184"/>
      <c r="E73" s="185">
        <f>2207491.67-20338.03+8000</f>
        <v>2195153.64</v>
      </c>
      <c r="F73" s="185">
        <f>392907+1615</f>
        <v>394522</v>
      </c>
      <c r="G73" s="184"/>
      <c r="H73" s="184"/>
      <c r="I73" s="185"/>
      <c r="J73" s="185">
        <v>420774</v>
      </c>
      <c r="K73" s="185"/>
      <c r="L73" s="185"/>
      <c r="M73" s="184"/>
      <c r="N73" s="184"/>
      <c r="O73" s="184">
        <v>1460870.4</v>
      </c>
      <c r="P73" s="185">
        <v>1384104.21</v>
      </c>
      <c r="Q73" s="185">
        <v>256558</v>
      </c>
      <c r="R73" s="185">
        <v>541085.54</v>
      </c>
      <c r="S73" s="185">
        <f>1466610.88+36.25</f>
        <v>1466647.13</v>
      </c>
      <c r="T73" s="185"/>
      <c r="U73" s="185">
        <f>1053106.8+251</f>
        <v>1053357.8</v>
      </c>
      <c r="V73" s="185"/>
      <c r="W73" s="185"/>
      <c r="X73" s="185"/>
      <c r="Y73" s="185">
        <f>629094.87+965</f>
        <v>630059.87</v>
      </c>
      <c r="Z73" s="185"/>
      <c r="AA73" s="185"/>
      <c r="AB73" s="185">
        <f>994605.92+937.5</f>
        <v>995543.42</v>
      </c>
      <c r="AC73" s="185">
        <v>294018</v>
      </c>
      <c r="AD73" s="185"/>
      <c r="AE73" s="185">
        <f>53760+953</f>
        <v>54713</v>
      </c>
      <c r="AF73" s="185"/>
      <c r="AG73" s="185">
        <v>450839.78</v>
      </c>
      <c r="AH73" s="185"/>
      <c r="AI73" s="185"/>
      <c r="AJ73" s="185"/>
      <c r="AK73" s="185"/>
      <c r="AL73" s="185"/>
      <c r="AM73" s="185"/>
      <c r="AN73" s="185"/>
      <c r="AO73" s="185"/>
      <c r="AP73" s="185">
        <f>761875.2+334</f>
        <v>762209.2</v>
      </c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12360455.989999998</v>
      </c>
      <c r="CF73" s="251"/>
    </row>
    <row r="74" spans="1:84" ht="12.65" customHeight="1" x14ac:dyDescent="0.35">
      <c r="A74" s="171" t="s">
        <v>246</v>
      </c>
      <c r="B74" s="175"/>
      <c r="C74" s="184"/>
      <c r="D74" s="184"/>
      <c r="E74" s="185">
        <f>1142272.79-226091.53+19846</f>
        <v>936027.26</v>
      </c>
      <c r="F74" s="185">
        <v>390472</v>
      </c>
      <c r="G74" s="184"/>
      <c r="H74" s="184"/>
      <c r="I74" s="184"/>
      <c r="J74" s="185">
        <v>1288</v>
      </c>
      <c r="K74" s="185"/>
      <c r="L74" s="185"/>
      <c r="M74" s="184"/>
      <c r="N74" s="184"/>
      <c r="O74" s="184">
        <v>169333.06</v>
      </c>
      <c r="P74" s="185">
        <v>4868742.78</v>
      </c>
      <c r="Q74" s="185">
        <v>1691584.78</v>
      </c>
      <c r="R74" s="185">
        <v>1846120.01</v>
      </c>
      <c r="S74" s="185">
        <v>4330058.4800000004</v>
      </c>
      <c r="T74" s="185"/>
      <c r="U74" s="185">
        <f>5627594.47</f>
        <v>5627594.4699999997</v>
      </c>
      <c r="V74" s="185"/>
      <c r="W74" s="185"/>
      <c r="X74" s="185"/>
      <c r="Y74" s="185">
        <v>17453879</v>
      </c>
      <c r="Z74" s="185"/>
      <c r="AA74" s="185"/>
      <c r="AB74" s="185">
        <v>2338590.2400000002</v>
      </c>
      <c r="AC74" s="185">
        <v>692385.38</v>
      </c>
      <c r="AD74" s="185"/>
      <c r="AE74" s="185">
        <v>1661184.16</v>
      </c>
      <c r="AF74" s="185"/>
      <c r="AG74" s="185">
        <v>12132030.029999999</v>
      </c>
      <c r="AH74" s="185"/>
      <c r="AI74" s="185"/>
      <c r="AJ74" s="185"/>
      <c r="AK74" s="185"/>
      <c r="AL74" s="185"/>
      <c r="AM74" s="185"/>
      <c r="AN74" s="185"/>
      <c r="AO74" s="185"/>
      <c r="AP74" s="185">
        <v>7669390.5999999996</v>
      </c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61808680.250000007</v>
      </c>
      <c r="CF74" s="251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3131180.9000000004</v>
      </c>
      <c r="F75" s="195">
        <f t="shared" si="9"/>
        <v>784994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422062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1630203.46</v>
      </c>
      <c r="P75" s="195">
        <f t="shared" si="9"/>
        <v>6252846.9900000002</v>
      </c>
      <c r="Q75" s="195">
        <f t="shared" si="9"/>
        <v>1948142.78</v>
      </c>
      <c r="R75" s="195">
        <f t="shared" si="9"/>
        <v>2387205.5499999998</v>
      </c>
      <c r="S75" s="195">
        <f t="shared" si="9"/>
        <v>5796705.6100000003</v>
      </c>
      <c r="T75" s="195">
        <f t="shared" si="9"/>
        <v>0</v>
      </c>
      <c r="U75" s="195">
        <f t="shared" si="9"/>
        <v>6680952.2699999996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18083938.870000001</v>
      </c>
      <c r="Z75" s="195">
        <f t="shared" si="9"/>
        <v>0</v>
      </c>
      <c r="AA75" s="195">
        <f t="shared" si="9"/>
        <v>0</v>
      </c>
      <c r="AB75" s="195">
        <f t="shared" si="9"/>
        <v>3334133.66</v>
      </c>
      <c r="AC75" s="195">
        <f t="shared" si="9"/>
        <v>986403.38</v>
      </c>
      <c r="AD75" s="195">
        <f t="shared" si="9"/>
        <v>0</v>
      </c>
      <c r="AE75" s="195">
        <f t="shared" si="9"/>
        <v>1715897.16</v>
      </c>
      <c r="AF75" s="195">
        <f t="shared" si="9"/>
        <v>0</v>
      </c>
      <c r="AG75" s="195">
        <f t="shared" si="9"/>
        <v>12582869.809999999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8431599.7999999989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74169136.239999995</v>
      </c>
      <c r="CF75" s="251"/>
    </row>
    <row r="76" spans="1:84" ht="12.65" customHeight="1" x14ac:dyDescent="0.35">
      <c r="A76" s="171" t="s">
        <v>248</v>
      </c>
      <c r="B76" s="175"/>
      <c r="C76" s="285"/>
      <c r="D76" s="285"/>
      <c r="E76" s="286">
        <f>4958+1058+188+97+100</f>
        <v>6401</v>
      </c>
      <c r="F76" s="286"/>
      <c r="G76" s="285"/>
      <c r="H76" s="285"/>
      <c r="I76" s="286"/>
      <c r="J76" s="286">
        <v>142</v>
      </c>
      <c r="K76" s="286"/>
      <c r="L76" s="286"/>
      <c r="M76" s="286"/>
      <c r="N76" s="286"/>
      <c r="O76" s="286">
        <v>1764</v>
      </c>
      <c r="P76" s="286">
        <f>4085+50</f>
        <v>4135</v>
      </c>
      <c r="Q76" s="286">
        <v>1211</v>
      </c>
      <c r="R76" s="286"/>
      <c r="S76" s="286">
        <v>1628</v>
      </c>
      <c r="T76" s="286"/>
      <c r="U76" s="286">
        <v>1213</v>
      </c>
      <c r="V76" s="286"/>
      <c r="W76" s="286"/>
      <c r="X76" s="286"/>
      <c r="Y76" s="286">
        <v>5347</v>
      </c>
      <c r="Z76" s="286"/>
      <c r="AA76" s="286"/>
      <c r="AB76" s="286">
        <v>588</v>
      </c>
      <c r="AC76" s="286">
        <v>394</v>
      </c>
      <c r="AD76" s="286"/>
      <c r="AE76" s="286">
        <v>2944</v>
      </c>
      <c r="AF76" s="286"/>
      <c r="AG76" s="286">
        <v>3601</v>
      </c>
      <c r="AH76" s="286"/>
      <c r="AI76" s="286"/>
      <c r="AJ76" s="286"/>
      <c r="AK76" s="286"/>
      <c r="AL76" s="286"/>
      <c r="AM76" s="286"/>
      <c r="AN76" s="286"/>
      <c r="AO76" s="286"/>
      <c r="AP76" s="286">
        <f>15629+100</f>
        <v>15729</v>
      </c>
      <c r="AQ76" s="286"/>
      <c r="AR76" s="286"/>
      <c r="AS76" s="286"/>
      <c r="AT76" s="286"/>
      <c r="AU76" s="286"/>
      <c r="AV76" s="286"/>
      <c r="AW76" s="286"/>
      <c r="AX76" s="286"/>
      <c r="AY76" s="286">
        <f>1395+651+305</f>
        <v>2351</v>
      </c>
      <c r="AZ76" s="286"/>
      <c r="BA76" s="286">
        <v>506</v>
      </c>
      <c r="BB76" s="286"/>
      <c r="BC76" s="286"/>
      <c r="BD76" s="286">
        <v>343</v>
      </c>
      <c r="BE76" s="286">
        <f>1822+8854+1689+12368</f>
        <v>24733</v>
      </c>
      <c r="BF76" s="286">
        <f>156+194</f>
        <v>350</v>
      </c>
      <c r="BG76" s="286">
        <v>292</v>
      </c>
      <c r="BH76" s="286">
        <f>436+216</f>
        <v>652</v>
      </c>
      <c r="BI76" s="286"/>
      <c r="BJ76" s="286">
        <f>138+477</f>
        <v>615</v>
      </c>
      <c r="BK76" s="286">
        <f>82+1671</f>
        <v>1753</v>
      </c>
      <c r="BL76" s="286">
        <v>252</v>
      </c>
      <c r="BM76" s="286"/>
      <c r="BN76" s="286">
        <v>701</v>
      </c>
      <c r="BO76" s="286"/>
      <c r="BP76" s="286"/>
      <c r="BQ76" s="286"/>
      <c r="BR76" s="286">
        <v>323</v>
      </c>
      <c r="BS76" s="286"/>
      <c r="BT76" s="286"/>
      <c r="BU76" s="286"/>
      <c r="BV76" s="286">
        <v>1508</v>
      </c>
      <c r="BW76" s="286"/>
      <c r="BX76" s="286"/>
      <c r="BY76" s="286">
        <f>148+117</f>
        <v>265</v>
      </c>
      <c r="BZ76" s="286"/>
      <c r="CA76" s="286">
        <f>31+2807</f>
        <v>2838</v>
      </c>
      <c r="CB76" s="286"/>
      <c r="CC76" s="286"/>
      <c r="CD76" s="248" t="s">
        <v>221</v>
      </c>
      <c r="CE76" s="195">
        <f t="shared" si="8"/>
        <v>82579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285"/>
      <c r="D77" s="285"/>
      <c r="E77" s="285">
        <v>6198</v>
      </c>
      <c r="F77" s="285"/>
      <c r="G77" s="285"/>
      <c r="H77" s="285"/>
      <c r="I77" s="285"/>
      <c r="J77" s="285"/>
      <c r="K77" s="285"/>
      <c r="L77" s="285"/>
      <c r="M77" s="285"/>
      <c r="N77" s="285"/>
      <c r="O77" s="285">
        <v>2066</v>
      </c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285"/>
      <c r="AH77" s="285"/>
      <c r="AI77" s="285"/>
      <c r="AJ77" s="285"/>
      <c r="AK77" s="285"/>
      <c r="AL77" s="285"/>
      <c r="AM77" s="285"/>
      <c r="AN77" s="285"/>
      <c r="AO77" s="285"/>
      <c r="AP77" s="285"/>
      <c r="AQ77" s="285"/>
      <c r="AR77" s="285"/>
      <c r="AS77" s="285"/>
      <c r="AT77" s="285"/>
      <c r="AU77" s="285"/>
      <c r="AV77" s="285"/>
      <c r="AW77" s="285"/>
      <c r="AX77" s="248" t="s">
        <v>221</v>
      </c>
      <c r="AY77" s="248" t="s">
        <v>221</v>
      </c>
      <c r="AZ77" s="285"/>
      <c r="BA77" s="285"/>
      <c r="BB77" s="285"/>
      <c r="BC77" s="285"/>
      <c r="BD77" s="248" t="s">
        <v>221</v>
      </c>
      <c r="BE77" s="248" t="s">
        <v>221</v>
      </c>
      <c r="BF77" s="285"/>
      <c r="BG77" s="248" t="s">
        <v>221</v>
      </c>
      <c r="BH77" s="285"/>
      <c r="BI77" s="285"/>
      <c r="BJ77" s="248" t="s">
        <v>221</v>
      </c>
      <c r="BK77" s="285"/>
      <c r="BL77" s="285"/>
      <c r="BM77" s="285"/>
      <c r="BN77" s="248" t="s">
        <v>221</v>
      </c>
      <c r="BO77" s="248" t="s">
        <v>221</v>
      </c>
      <c r="BP77" s="248" t="s">
        <v>221</v>
      </c>
      <c r="BQ77" s="248" t="s">
        <v>221</v>
      </c>
      <c r="BR77" s="285"/>
      <c r="BS77" s="285"/>
      <c r="BT77" s="285"/>
      <c r="BU77" s="285"/>
      <c r="BV77" s="285"/>
      <c r="BW77" s="285"/>
      <c r="BX77" s="285"/>
      <c r="BY77" s="285"/>
      <c r="BZ77" s="285"/>
      <c r="CA77" s="285"/>
      <c r="CB77" s="285"/>
      <c r="CC77" s="248" t="s">
        <v>221</v>
      </c>
      <c r="CD77" s="248" t="s">
        <v>221</v>
      </c>
      <c r="CE77" s="195">
        <f>SUM(C77:CD77)</f>
        <v>8264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285"/>
      <c r="D78" s="285"/>
      <c r="E78" s="285">
        <v>4930.25</v>
      </c>
      <c r="F78" s="285"/>
      <c r="G78" s="285"/>
      <c r="H78" s="285"/>
      <c r="I78" s="285"/>
      <c r="J78" s="285"/>
      <c r="K78" s="285"/>
      <c r="L78" s="285"/>
      <c r="M78" s="285"/>
      <c r="N78" s="285"/>
      <c r="O78" s="285">
        <v>1274.6400000000001</v>
      </c>
      <c r="P78" s="285">
        <v>1371</v>
      </c>
      <c r="Q78" s="285">
        <v>1149.01</v>
      </c>
      <c r="R78" s="285"/>
      <c r="S78" s="285">
        <v>348.85</v>
      </c>
      <c r="T78" s="285"/>
      <c r="U78" s="285">
        <v>584.26</v>
      </c>
      <c r="V78" s="285"/>
      <c r="W78" s="285"/>
      <c r="X78" s="285"/>
      <c r="Y78" s="285">
        <v>691.6</v>
      </c>
      <c r="Z78" s="285"/>
      <c r="AA78" s="285"/>
      <c r="AB78" s="285">
        <v>171.99</v>
      </c>
      <c r="AC78" s="285">
        <v>297.62</v>
      </c>
      <c r="AD78" s="285"/>
      <c r="AE78" s="285">
        <v>273.22000000000003</v>
      </c>
      <c r="AF78" s="285"/>
      <c r="AG78" s="285">
        <v>5240.0600000000004</v>
      </c>
      <c r="AH78" s="285"/>
      <c r="AI78" s="285"/>
      <c r="AJ78" s="285"/>
      <c r="AK78" s="285"/>
      <c r="AL78" s="285"/>
      <c r="AM78" s="285"/>
      <c r="AN78" s="285"/>
      <c r="AO78" s="285"/>
      <c r="AP78" s="285">
        <v>2067.5</v>
      </c>
      <c r="AQ78" s="285"/>
      <c r="AR78" s="285"/>
      <c r="AS78" s="285"/>
      <c r="AT78" s="285"/>
      <c r="AU78" s="285"/>
      <c r="AV78" s="285"/>
      <c r="AW78" s="285"/>
      <c r="AX78" s="248" t="s">
        <v>221</v>
      </c>
      <c r="AY78" s="248" t="s">
        <v>221</v>
      </c>
      <c r="AZ78" s="248" t="s">
        <v>221</v>
      </c>
      <c r="BA78" s="285">
        <v>569.63</v>
      </c>
      <c r="BB78" s="285"/>
      <c r="BC78" s="285"/>
      <c r="BD78" s="248" t="s">
        <v>221</v>
      </c>
      <c r="BE78" s="248" t="s">
        <v>221</v>
      </c>
      <c r="BF78" s="248" t="s">
        <v>221</v>
      </c>
      <c r="BG78" s="248" t="s">
        <v>221</v>
      </c>
      <c r="BH78" s="285"/>
      <c r="BI78" s="285"/>
      <c r="BJ78" s="248" t="s">
        <v>221</v>
      </c>
      <c r="BK78" s="285"/>
      <c r="BL78" s="285"/>
      <c r="BM78" s="285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285"/>
      <c r="BT78" s="285"/>
      <c r="BU78" s="285"/>
      <c r="BV78" s="285"/>
      <c r="BW78" s="285"/>
      <c r="BX78" s="285"/>
      <c r="BY78" s="285"/>
      <c r="BZ78" s="285"/>
      <c r="CA78" s="285"/>
      <c r="CB78" s="285"/>
      <c r="CC78" s="248" t="s">
        <v>221</v>
      </c>
      <c r="CD78" s="248" t="s">
        <v>221</v>
      </c>
      <c r="CE78" s="195">
        <f t="shared" si="8"/>
        <v>18969.63</v>
      </c>
      <c r="CF78" s="195"/>
    </row>
    <row r="79" spans="1:84" ht="12.65" customHeight="1" x14ac:dyDescent="0.35">
      <c r="A79" s="171" t="s">
        <v>251</v>
      </c>
      <c r="B79" s="175"/>
      <c r="C79" s="293"/>
      <c r="D79" s="293"/>
      <c r="E79" s="285">
        <v>89694.8</v>
      </c>
      <c r="F79" s="285"/>
      <c r="G79" s="285"/>
      <c r="H79" s="285"/>
      <c r="I79" s="285"/>
      <c r="J79" s="285"/>
      <c r="K79" s="285"/>
      <c r="L79" s="285"/>
      <c r="M79" s="285"/>
      <c r="N79" s="285"/>
      <c r="O79" s="285">
        <v>9201.67</v>
      </c>
      <c r="P79" s="285">
        <v>49912.62</v>
      </c>
      <c r="Q79" s="285"/>
      <c r="R79" s="285"/>
      <c r="S79" s="285"/>
      <c r="T79" s="285"/>
      <c r="U79" s="285"/>
      <c r="V79" s="285"/>
      <c r="W79" s="285"/>
      <c r="X79" s="285"/>
      <c r="Y79" s="285">
        <v>599.08000000000004</v>
      </c>
      <c r="Z79" s="285"/>
      <c r="AA79" s="285"/>
      <c r="AB79" s="285"/>
      <c r="AC79" s="285"/>
      <c r="AD79" s="285"/>
      <c r="AE79" s="285"/>
      <c r="AF79" s="285"/>
      <c r="AG79" s="285">
        <v>23184.77</v>
      </c>
      <c r="AH79" s="285"/>
      <c r="AI79" s="285"/>
      <c r="AJ79" s="285"/>
      <c r="AK79" s="285"/>
      <c r="AL79" s="285"/>
      <c r="AM79" s="285"/>
      <c r="AN79" s="285"/>
      <c r="AO79" s="285"/>
      <c r="AP79" s="285"/>
      <c r="AQ79" s="285"/>
      <c r="AR79" s="285"/>
      <c r="AS79" s="285"/>
      <c r="AT79" s="285"/>
      <c r="AU79" s="285"/>
      <c r="AV79" s="285"/>
      <c r="AW79" s="285"/>
      <c r="AX79" s="248" t="s">
        <v>221</v>
      </c>
      <c r="AY79" s="248" t="s">
        <v>221</v>
      </c>
      <c r="AZ79" s="248" t="s">
        <v>221</v>
      </c>
      <c r="BA79" s="248" t="s">
        <v>221</v>
      </c>
      <c r="BB79" s="285"/>
      <c r="BC79" s="285"/>
      <c r="BD79" s="248" t="s">
        <v>221</v>
      </c>
      <c r="BE79" s="248" t="s">
        <v>221</v>
      </c>
      <c r="BF79" s="248" t="s">
        <v>221</v>
      </c>
      <c r="BG79" s="248" t="s">
        <v>221</v>
      </c>
      <c r="BH79" s="285"/>
      <c r="BI79" s="285"/>
      <c r="BJ79" s="248" t="s">
        <v>221</v>
      </c>
      <c r="BK79" s="285"/>
      <c r="BL79" s="285"/>
      <c r="BM79" s="285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285"/>
      <c r="BT79" s="285"/>
      <c r="BU79" s="285"/>
      <c r="BV79" s="285"/>
      <c r="BW79" s="285"/>
      <c r="BX79" s="285"/>
      <c r="BY79" s="285"/>
      <c r="BZ79" s="285"/>
      <c r="CA79" s="285"/>
      <c r="CB79" s="285"/>
      <c r="CC79" s="248" t="s">
        <v>221</v>
      </c>
      <c r="CD79" s="248" t="s">
        <v>221</v>
      </c>
      <c r="CE79" s="195">
        <f t="shared" si="8"/>
        <v>172592.93999999997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289"/>
      <c r="D80" s="289"/>
      <c r="E80" s="289">
        <v>14.43</v>
      </c>
      <c r="F80" s="289"/>
      <c r="G80" s="289"/>
      <c r="H80" s="289"/>
      <c r="I80" s="289"/>
      <c r="J80" s="289"/>
      <c r="K80" s="289"/>
      <c r="L80" s="289"/>
      <c r="M80" s="289"/>
      <c r="N80" s="289"/>
      <c r="O80" s="289">
        <v>6.18</v>
      </c>
      <c r="P80" s="289">
        <v>3.15</v>
      </c>
      <c r="Q80" s="289">
        <v>4.26</v>
      </c>
      <c r="R80" s="289"/>
      <c r="S80" s="289"/>
      <c r="T80" s="289"/>
      <c r="U80" s="289"/>
      <c r="V80" s="289"/>
      <c r="W80" s="289"/>
      <c r="X80" s="289"/>
      <c r="Y80" s="289">
        <v>0.24</v>
      </c>
      <c r="Z80" s="289"/>
      <c r="AA80" s="289"/>
      <c r="AB80" s="289"/>
      <c r="AC80" s="289"/>
      <c r="AD80" s="289"/>
      <c r="AE80" s="289"/>
      <c r="AF80" s="289"/>
      <c r="AG80" s="289">
        <v>7.48</v>
      </c>
      <c r="AH80" s="289"/>
      <c r="AI80" s="289"/>
      <c r="AJ80" s="289"/>
      <c r="AK80" s="289"/>
      <c r="AL80" s="289"/>
      <c r="AM80" s="289"/>
      <c r="AN80" s="289"/>
      <c r="AO80" s="289"/>
      <c r="AP80" s="289">
        <v>11.9</v>
      </c>
      <c r="AQ80" s="289"/>
      <c r="AR80" s="289"/>
      <c r="AS80" s="289"/>
      <c r="AT80" s="289"/>
      <c r="AU80" s="289"/>
      <c r="AV80" s="289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47.639999999999993</v>
      </c>
      <c r="CF80" s="254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1" t="s">
        <v>1280</v>
      </c>
      <c r="D82" s="255"/>
      <c r="E82" s="175"/>
    </row>
    <row r="83" spans="1:5" ht="12.65" customHeight="1" x14ac:dyDescent="0.35">
      <c r="A83" s="173" t="s">
        <v>255</v>
      </c>
      <c r="B83" s="172" t="s">
        <v>256</v>
      </c>
      <c r="C83" s="226" t="s">
        <v>1267</v>
      </c>
      <c r="D83" s="255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1268</v>
      </c>
      <c r="D84" s="205"/>
      <c r="E84" s="204"/>
    </row>
    <row r="85" spans="1:5" ht="12.65" customHeight="1" x14ac:dyDescent="0.35">
      <c r="A85" s="173" t="s">
        <v>1251</v>
      </c>
      <c r="B85" s="172"/>
      <c r="C85" s="270" t="s">
        <v>1269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0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69" t="s">
        <v>1276</v>
      </c>
      <c r="D92" s="255"/>
      <c r="E92" s="175"/>
    </row>
    <row r="93" spans="1:5" ht="12.65" customHeight="1" x14ac:dyDescent="0.35">
      <c r="A93" s="173" t="s">
        <v>264</v>
      </c>
      <c r="B93" s="172" t="s">
        <v>256</v>
      </c>
      <c r="C93" s="269" t="s">
        <v>1277</v>
      </c>
      <c r="D93" s="255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6" t="s">
        <v>266</v>
      </c>
      <c r="B96" s="256"/>
      <c r="C96" s="256"/>
      <c r="D96" s="256"/>
      <c r="E96" s="256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6" t="s">
        <v>269</v>
      </c>
      <c r="B100" s="256"/>
      <c r="C100" s="256"/>
      <c r="D100" s="256"/>
      <c r="E100" s="256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6" t="s">
        <v>271</v>
      </c>
      <c r="B103" s="256"/>
      <c r="C103" s="256"/>
      <c r="D103" s="256"/>
      <c r="E103" s="256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292">
        <v>712</v>
      </c>
      <c r="D111" s="294">
        <v>1726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292">
        <v>1</v>
      </c>
      <c r="D112" s="294">
        <v>8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292"/>
      <c r="D113" s="294"/>
      <c r="E113" s="175"/>
    </row>
    <row r="114" spans="1:5" ht="12.65" customHeight="1" x14ac:dyDescent="0.35">
      <c r="A114" s="173" t="s">
        <v>281</v>
      </c>
      <c r="B114" s="172" t="s">
        <v>256</v>
      </c>
      <c r="C114" s="292">
        <v>266</v>
      </c>
      <c r="D114" s="294">
        <v>377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292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292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292">
        <v>25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292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292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292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292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292"/>
      <c r="D123" s="175"/>
      <c r="E123" s="175"/>
    </row>
    <row r="124" spans="1:5" ht="12.65" customHeight="1" x14ac:dyDescent="0.35">
      <c r="A124" s="173" t="s">
        <v>289</v>
      </c>
      <c r="B124" s="172"/>
      <c r="C124" s="292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292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292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292">
        <v>44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292">
        <v>6</v>
      </c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292">
        <v>13092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294">
        <f>215+29-1</f>
        <v>243</v>
      </c>
      <c r="C138" s="292">
        <f>78+207</f>
        <v>285</v>
      </c>
      <c r="D138" s="294">
        <v>184</v>
      </c>
      <c r="E138" s="175">
        <f>SUM(B138:D138)</f>
        <v>712</v>
      </c>
    </row>
    <row r="139" spans="1:6" ht="12.65" customHeight="1" x14ac:dyDescent="0.35">
      <c r="A139" s="173" t="s">
        <v>215</v>
      </c>
      <c r="B139" s="294">
        <f>636+99-8</f>
        <v>727</v>
      </c>
      <c r="C139" s="292">
        <f>162+429</f>
        <v>591</v>
      </c>
      <c r="D139" s="294">
        <v>408</v>
      </c>
      <c r="E139" s="175">
        <f>SUM(B139:D139)</f>
        <v>1726</v>
      </c>
    </row>
    <row r="140" spans="1:6" ht="12.65" customHeight="1" x14ac:dyDescent="0.35">
      <c r="A140" s="173" t="s">
        <v>298</v>
      </c>
      <c r="B140" s="294">
        <f>10839+1801</f>
        <v>12640</v>
      </c>
      <c r="C140" s="294">
        <f>1864+9068</f>
        <v>10932</v>
      </c>
      <c r="D140" s="294">
        <f>36339-12640-10932</f>
        <v>12767</v>
      </c>
      <c r="E140" s="175">
        <f>SUM(B140:D140)</f>
        <v>36339</v>
      </c>
    </row>
    <row r="141" spans="1:6" ht="12.65" customHeight="1" x14ac:dyDescent="0.35">
      <c r="A141" s="173" t="s">
        <v>245</v>
      </c>
      <c r="B141" s="294">
        <f>804732.21+3782700.15</f>
        <v>4587432.3599999994</v>
      </c>
      <c r="C141" s="292">
        <f>1440405.96+3206609.41</f>
        <v>4647015.37</v>
      </c>
      <c r="D141" s="294">
        <f>12347364.24-4587432.36-4647015.37</f>
        <v>3112916.51</v>
      </c>
      <c r="E141" s="175">
        <f>SUM(B141:D141)</f>
        <v>12347364.24</v>
      </c>
      <c r="F141" s="199"/>
    </row>
    <row r="142" spans="1:6" ht="12.65" customHeight="1" x14ac:dyDescent="0.35">
      <c r="A142" s="173" t="s">
        <v>246</v>
      </c>
      <c r="B142" s="294">
        <f>3084465.57+293816.43+18673622.22+1542521.44</f>
        <v>23594425.66</v>
      </c>
      <c r="C142" s="294">
        <f>3693548.65+177457.56+13211089.23+1171600.38</f>
        <v>18253695.82</v>
      </c>
      <c r="D142" s="294">
        <v>19960558.77</v>
      </c>
      <c r="E142" s="175">
        <f>SUM(B142:D142)</f>
        <v>61808680.25</v>
      </c>
      <c r="F142" s="199"/>
    </row>
    <row r="143" spans="1:6" ht="12.65" customHeight="1" x14ac:dyDescent="0.3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294">
        <v>1</v>
      </c>
      <c r="C144" s="292"/>
      <c r="D144" s="294"/>
      <c r="E144" s="175">
        <f>SUM(B144:D144)</f>
        <v>1</v>
      </c>
    </row>
    <row r="145" spans="1:5" ht="12.65" customHeight="1" x14ac:dyDescent="0.35">
      <c r="A145" s="173" t="s">
        <v>215</v>
      </c>
      <c r="B145" s="294">
        <v>8</v>
      </c>
      <c r="C145" s="292"/>
      <c r="D145" s="294"/>
      <c r="E145" s="175">
        <f>SUM(B145:D145)</f>
        <v>8</v>
      </c>
    </row>
    <row r="146" spans="1:5" ht="12.65" customHeight="1" x14ac:dyDescent="0.35">
      <c r="A146" s="173" t="s">
        <v>298</v>
      </c>
      <c r="B146" s="294"/>
      <c r="C146" s="292"/>
      <c r="D146" s="294"/>
      <c r="E146" s="175">
        <f>SUM(B146:D146)</f>
        <v>0</v>
      </c>
    </row>
    <row r="147" spans="1:5" ht="12.65" customHeight="1" x14ac:dyDescent="0.35">
      <c r="A147" s="173" t="s">
        <v>245</v>
      </c>
      <c r="B147" s="294">
        <v>13091.75</v>
      </c>
      <c r="C147" s="292"/>
      <c r="D147" s="294"/>
      <c r="E147" s="175">
        <f>SUM(B147:D147)</f>
        <v>13091.75</v>
      </c>
    </row>
    <row r="148" spans="1:5" ht="12.65" customHeight="1" x14ac:dyDescent="0.35">
      <c r="A148" s="173" t="s">
        <v>246</v>
      </c>
      <c r="B148" s="294"/>
      <c r="C148" s="292"/>
      <c r="D148" s="294"/>
      <c r="E148" s="175">
        <f>SUM(B148:D148)</f>
        <v>0</v>
      </c>
    </row>
    <row r="149" spans="1:5" ht="12.65" customHeight="1" x14ac:dyDescent="0.3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294">
        <v>11278983.26</v>
      </c>
      <c r="C157" s="294">
        <v>3750579.18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6" t="s">
        <v>306</v>
      </c>
      <c r="B164" s="256"/>
      <c r="C164" s="256"/>
      <c r="D164" s="256"/>
      <c r="E164" s="256"/>
    </row>
    <row r="165" spans="1:5" ht="11.5" customHeight="1" x14ac:dyDescent="0.35">
      <c r="A165" s="173" t="s">
        <v>307</v>
      </c>
      <c r="B165" s="172" t="s">
        <v>256</v>
      </c>
      <c r="C165" s="292">
        <v>1138277.3400000001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292">
        <v>61644.21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292">
        <v>260935.88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292">
        <v>2138744.79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292">
        <v>39677.24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292">
        <v>265615.14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292">
        <v>23629.02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292">
        <v>21397.78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3949921.4000000004</v>
      </c>
      <c r="E173" s="175"/>
    </row>
    <row r="174" spans="1:5" ht="11.5" customHeight="1" x14ac:dyDescent="0.35">
      <c r="A174" s="256" t="s">
        <v>314</v>
      </c>
      <c r="B174" s="256"/>
      <c r="C174" s="256"/>
      <c r="D174" s="256"/>
      <c r="E174" s="256"/>
    </row>
    <row r="175" spans="1:5" ht="11.5" customHeight="1" x14ac:dyDescent="0.35">
      <c r="A175" s="173" t="s">
        <v>315</v>
      </c>
      <c r="B175" s="172" t="s">
        <v>256</v>
      </c>
      <c r="C175" s="292">
        <v>2600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292">
        <v>269873.89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272473.89</v>
      </c>
      <c r="E177" s="175"/>
    </row>
    <row r="178" spans="1:5" ht="11.5" customHeight="1" x14ac:dyDescent="0.35">
      <c r="A178" s="256" t="s">
        <v>317</v>
      </c>
      <c r="B178" s="256"/>
      <c r="C178" s="256"/>
      <c r="D178" s="256"/>
      <c r="E178" s="256"/>
    </row>
    <row r="179" spans="1:5" ht="11.5" customHeight="1" x14ac:dyDescent="0.35">
      <c r="A179" s="173" t="s">
        <v>318</v>
      </c>
      <c r="B179" s="172" t="s">
        <v>256</v>
      </c>
      <c r="C179" s="292">
        <v>373522.75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292">
        <v>147973.76999999999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521496.52</v>
      </c>
      <c r="E181" s="175"/>
    </row>
    <row r="182" spans="1:5" ht="11.5" customHeight="1" x14ac:dyDescent="0.35">
      <c r="A182" s="256" t="s">
        <v>320</v>
      </c>
      <c r="B182" s="256"/>
      <c r="C182" s="256"/>
      <c r="D182" s="256"/>
      <c r="E182" s="256"/>
    </row>
    <row r="183" spans="1:5" ht="11.5" customHeight="1" x14ac:dyDescent="0.35">
      <c r="A183" s="173" t="s">
        <v>321</v>
      </c>
      <c r="B183" s="172" t="s">
        <v>256</v>
      </c>
      <c r="C183" s="292">
        <v>34619.67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292">
        <v>179368.21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292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213987.88</v>
      </c>
      <c r="E186" s="175"/>
    </row>
    <row r="187" spans="1:5" ht="11.5" customHeight="1" x14ac:dyDescent="0.35">
      <c r="A187" s="256" t="s">
        <v>323</v>
      </c>
      <c r="B187" s="256"/>
      <c r="C187" s="256"/>
      <c r="D187" s="256"/>
      <c r="E187" s="256"/>
    </row>
    <row r="188" spans="1:5" ht="11.5" customHeight="1" x14ac:dyDescent="0.35">
      <c r="A188" s="173" t="s">
        <v>324</v>
      </c>
      <c r="B188" s="172" t="s">
        <v>256</v>
      </c>
      <c r="C188" s="292">
        <v>285796.57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292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285796.57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146305.63</v>
      </c>
      <c r="C195" s="189"/>
      <c r="D195" s="174"/>
      <c r="E195" s="175">
        <f t="shared" ref="E195:E203" si="10">SUM(B195:C195)-D195</f>
        <v>146305.63</v>
      </c>
    </row>
    <row r="196" spans="1:8" ht="12.65" customHeight="1" x14ac:dyDescent="0.35">
      <c r="A196" s="173" t="s">
        <v>333</v>
      </c>
      <c r="B196" s="174">
        <v>1128015.8799999999</v>
      </c>
      <c r="C196" s="189">
        <v>-25506.15</v>
      </c>
      <c r="D196" s="174"/>
      <c r="E196" s="175">
        <f t="shared" si="10"/>
        <v>1102509.73</v>
      </c>
    </row>
    <row r="197" spans="1:8" ht="12.65" customHeight="1" x14ac:dyDescent="0.35">
      <c r="A197" s="173" t="s">
        <v>334</v>
      </c>
      <c r="B197" s="174">
        <v>7901929</v>
      </c>
      <c r="C197" s="189">
        <v>15659.86</v>
      </c>
      <c r="D197" s="174"/>
      <c r="E197" s="175">
        <f t="shared" si="10"/>
        <v>7917588.8600000003</v>
      </c>
    </row>
    <row r="198" spans="1:8" ht="12.65" customHeight="1" x14ac:dyDescent="0.35">
      <c r="A198" s="173" t="s">
        <v>335</v>
      </c>
      <c r="B198" s="174">
        <v>5860084.0899999999</v>
      </c>
      <c r="C198" s="189">
        <v>25605.16</v>
      </c>
      <c r="D198" s="174"/>
      <c r="E198" s="175">
        <f t="shared" si="10"/>
        <v>5885689.25</v>
      </c>
    </row>
    <row r="199" spans="1:8" ht="12.65" customHeight="1" x14ac:dyDescent="0.35">
      <c r="A199" s="173" t="s">
        <v>336</v>
      </c>
      <c r="B199" s="174">
        <v>290017.28999999998</v>
      </c>
      <c r="C199" s="189">
        <v>8742.51</v>
      </c>
      <c r="D199" s="174">
        <v>772.92</v>
      </c>
      <c r="E199" s="175">
        <f t="shared" si="10"/>
        <v>297986.88</v>
      </c>
    </row>
    <row r="200" spans="1:8" ht="12.65" customHeight="1" x14ac:dyDescent="0.35">
      <c r="A200" s="173" t="s">
        <v>337</v>
      </c>
      <c r="B200" s="174">
        <v>10880522.08</v>
      </c>
      <c r="C200" s="189">
        <f>440804.92+20604.91</f>
        <v>461409.82999999996</v>
      </c>
      <c r="D200" s="174">
        <v>1004209.34</v>
      </c>
      <c r="E200" s="175">
        <f t="shared" si="10"/>
        <v>10337722.57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54217.53</v>
      </c>
      <c r="C203" s="189">
        <v>51092.5</v>
      </c>
      <c r="D203" s="174">
        <v>54217.53</v>
      </c>
      <c r="E203" s="175">
        <f t="shared" si="10"/>
        <v>51092.5</v>
      </c>
    </row>
    <row r="204" spans="1:8" ht="12.65" customHeight="1" x14ac:dyDescent="0.35">
      <c r="A204" s="173" t="s">
        <v>203</v>
      </c>
      <c r="B204" s="175">
        <f>SUM(B195:B203)</f>
        <v>26261091.5</v>
      </c>
      <c r="C204" s="191">
        <f>SUM(C195:C203)</f>
        <v>537003.71</v>
      </c>
      <c r="D204" s="175">
        <f>SUM(D195:D203)</f>
        <v>1059199.79</v>
      </c>
      <c r="E204" s="175">
        <f>SUM(E195:E203)</f>
        <v>25738895.420000002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8"/>
    </row>
    <row r="209" spans="1:8" ht="12.65" customHeight="1" x14ac:dyDescent="0.35">
      <c r="A209" s="173" t="s">
        <v>333</v>
      </c>
      <c r="B209" s="294">
        <v>831003.19</v>
      </c>
      <c r="C209" s="292">
        <f>31366.55-8606.88</f>
        <v>22759.67</v>
      </c>
      <c r="D209" s="294"/>
      <c r="E209" s="175">
        <f t="shared" ref="E209:E216" si="11">SUM(B209:C209)-D209</f>
        <v>853762.86</v>
      </c>
      <c r="H209" s="258"/>
    </row>
    <row r="210" spans="1:8" ht="12.65" customHeight="1" x14ac:dyDescent="0.35">
      <c r="A210" s="173" t="s">
        <v>334</v>
      </c>
      <c r="B210" s="294">
        <v>4582787.43</v>
      </c>
      <c r="C210" s="292">
        <v>279098.75</v>
      </c>
      <c r="D210" s="294"/>
      <c r="E210" s="175">
        <f t="shared" si="11"/>
        <v>4861886.18</v>
      </c>
      <c r="H210" s="258"/>
    </row>
    <row r="211" spans="1:8" ht="12.65" customHeight="1" x14ac:dyDescent="0.35">
      <c r="A211" s="173" t="s">
        <v>335</v>
      </c>
      <c r="B211" s="294">
        <v>2888371.21</v>
      </c>
      <c r="C211" s="292">
        <v>289538.90000000002</v>
      </c>
      <c r="D211" s="294"/>
      <c r="E211" s="175">
        <f t="shared" si="11"/>
        <v>3177910.11</v>
      </c>
      <c r="H211" s="258"/>
    </row>
    <row r="212" spans="1:8" ht="12.65" customHeight="1" x14ac:dyDescent="0.35">
      <c r="A212" s="173" t="s">
        <v>336</v>
      </c>
      <c r="B212" s="294">
        <v>165881.47</v>
      </c>
      <c r="C212" s="292">
        <v>11923.18</v>
      </c>
      <c r="D212" s="294">
        <v>772.92</v>
      </c>
      <c r="E212" s="175">
        <f t="shared" si="11"/>
        <v>177031.72999999998</v>
      </c>
      <c r="H212" s="258"/>
    </row>
    <row r="213" spans="1:8" ht="12.65" customHeight="1" x14ac:dyDescent="0.35">
      <c r="A213" s="173" t="s">
        <v>337</v>
      </c>
      <c r="B213" s="294">
        <v>6664790.0300000003</v>
      </c>
      <c r="C213" s="292">
        <f>691250.17+710629.16</f>
        <v>1401879.33</v>
      </c>
      <c r="D213" s="294">
        <v>995384.62</v>
      </c>
      <c r="E213" s="175">
        <f t="shared" si="11"/>
        <v>7071284.7400000002</v>
      </c>
      <c r="H213" s="258"/>
    </row>
    <row r="214" spans="1:8" ht="12.65" customHeight="1" x14ac:dyDescent="0.35">
      <c r="A214" s="173" t="s">
        <v>338</v>
      </c>
      <c r="B214" s="294"/>
      <c r="C214" s="292"/>
      <c r="D214" s="294"/>
      <c r="E214" s="175">
        <f t="shared" si="11"/>
        <v>0</v>
      </c>
      <c r="H214" s="258"/>
    </row>
    <row r="215" spans="1:8" ht="12.65" customHeight="1" x14ac:dyDescent="0.35">
      <c r="A215" s="173" t="s">
        <v>339</v>
      </c>
      <c r="B215" s="294"/>
      <c r="C215" s="292"/>
      <c r="D215" s="294"/>
      <c r="E215" s="175">
        <f t="shared" si="11"/>
        <v>0</v>
      </c>
      <c r="H215" s="258"/>
    </row>
    <row r="216" spans="1:8" ht="12.65" customHeight="1" x14ac:dyDescent="0.35">
      <c r="A216" s="173" t="s">
        <v>340</v>
      </c>
      <c r="B216" s="294"/>
      <c r="C216" s="292"/>
      <c r="D216" s="294"/>
      <c r="E216" s="175">
        <f t="shared" si="11"/>
        <v>0</v>
      </c>
      <c r="H216" s="258"/>
    </row>
    <row r="217" spans="1:8" ht="12.65" customHeight="1" x14ac:dyDescent="0.35">
      <c r="A217" s="173" t="s">
        <v>203</v>
      </c>
      <c r="B217" s="175">
        <f>SUM(B208:B216)</f>
        <v>15132833.329999998</v>
      </c>
      <c r="C217" s="191">
        <f>SUM(C208:C216)</f>
        <v>2005199.83</v>
      </c>
      <c r="D217" s="175">
        <f>SUM(D208:D216)</f>
        <v>996157.54</v>
      </c>
      <c r="E217" s="175">
        <f>SUM(E208:E216)</f>
        <v>16141875.620000001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7" t="s">
        <v>1255</v>
      </c>
      <c r="C220" s="297"/>
      <c r="D220" s="208"/>
      <c r="E220" s="208"/>
    </row>
    <row r="221" spans="1:8" ht="12.65" customHeight="1" x14ac:dyDescent="0.35">
      <c r="A221" s="271" t="s">
        <v>1255</v>
      </c>
      <c r="B221" s="208"/>
      <c r="C221" s="292">
        <f>1207974.28+23538.32</f>
        <v>1231512.6000000001</v>
      </c>
      <c r="D221" s="172">
        <f>C221</f>
        <v>1231512.6000000001</v>
      </c>
      <c r="E221" s="208"/>
    </row>
    <row r="222" spans="1:8" ht="12.65" customHeight="1" x14ac:dyDescent="0.35">
      <c r="A222" s="256" t="s">
        <v>343</v>
      </c>
      <c r="B222" s="256"/>
      <c r="C222" s="256"/>
      <c r="D222" s="256"/>
      <c r="E222" s="256"/>
    </row>
    <row r="223" spans="1:8" ht="12.65" customHeight="1" x14ac:dyDescent="0.35">
      <c r="A223" s="173" t="s">
        <v>344</v>
      </c>
      <c r="B223" s="172" t="s">
        <v>256</v>
      </c>
      <c r="C223" s="292">
        <f>2014770.14+13612266.31</f>
        <v>15627036.450000001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292">
        <f>3046526.2-357558.74+9292292.23</f>
        <v>11981259.690000001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292">
        <f>1219688.79-56314.95</f>
        <v>1163373.8400000001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292">
        <v>357702.24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292">
        <f>3947900.11+24723.9-115570.01+316.1</f>
        <v>3857370.1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292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32986742.32</v>
      </c>
      <c r="E229" s="175"/>
    </row>
    <row r="230" spans="1:5" ht="12.65" customHeight="1" x14ac:dyDescent="0.35">
      <c r="A230" s="256" t="s">
        <v>351</v>
      </c>
      <c r="B230" s="256"/>
      <c r="C230" s="256"/>
      <c r="D230" s="256"/>
      <c r="E230" s="256"/>
    </row>
    <row r="231" spans="1:5" ht="12.65" customHeight="1" x14ac:dyDescent="0.35">
      <c r="A231" s="171" t="s">
        <v>352</v>
      </c>
      <c r="B231" s="172" t="s">
        <v>256</v>
      </c>
      <c r="C231" s="292">
        <v>2155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292">
        <v>240539.05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292">
        <v>1034144.28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1274683.33</v>
      </c>
      <c r="E236" s="175"/>
    </row>
    <row r="237" spans="1:5" ht="12.65" customHeight="1" x14ac:dyDescent="0.35">
      <c r="A237" s="256" t="s">
        <v>356</v>
      </c>
      <c r="B237" s="256"/>
      <c r="C237" s="256"/>
      <c r="D237" s="256"/>
      <c r="E237" s="256"/>
    </row>
    <row r="238" spans="1:5" ht="12.65" customHeight="1" x14ac:dyDescent="0.35">
      <c r="A238" s="173" t="s">
        <v>357</v>
      </c>
      <c r="B238" s="172" t="s">
        <v>256</v>
      </c>
      <c r="C238" s="292">
        <f>3989674.8+206682.75</f>
        <v>4196357.55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292">
        <f>56839.94+64226.62</f>
        <v>121066.56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4317424.1099999994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39810362.359999999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6" t="s">
        <v>361</v>
      </c>
      <c r="B249" s="256"/>
      <c r="C249" s="256"/>
      <c r="D249" s="256"/>
      <c r="E249" s="256"/>
    </row>
    <row r="250" spans="1:5" ht="12.45" customHeight="1" x14ac:dyDescent="0.35">
      <c r="A250" s="173" t="s">
        <v>362</v>
      </c>
      <c r="B250" s="172" t="s">
        <v>256</v>
      </c>
      <c r="C250" s="292">
        <v>16071007.82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292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292">
        <v>14860946.66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292">
        <v>9406949.5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292">
        <v>593589.56000000006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292">
        <v>170240.61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292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292">
        <v>829927.72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292">
        <v>192693.77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292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23311456.640000001</v>
      </c>
      <c r="E260" s="175"/>
    </row>
    <row r="261" spans="1:5" ht="11.25" customHeight="1" x14ac:dyDescent="0.35">
      <c r="A261" s="256" t="s">
        <v>372</v>
      </c>
      <c r="B261" s="256"/>
      <c r="C261" s="256"/>
      <c r="D261" s="256"/>
      <c r="E261" s="256"/>
    </row>
    <row r="262" spans="1:5" ht="12.45" customHeight="1" x14ac:dyDescent="0.35">
      <c r="A262" s="173" t="s">
        <v>362</v>
      </c>
      <c r="B262" s="172" t="s">
        <v>256</v>
      </c>
      <c r="C262" s="292">
        <v>716352.59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292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292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716352.59</v>
      </c>
      <c r="E265" s="175"/>
    </row>
    <row r="266" spans="1:5" ht="11.25" customHeight="1" x14ac:dyDescent="0.35">
      <c r="A266" s="256" t="s">
        <v>375</v>
      </c>
      <c r="B266" s="256"/>
      <c r="C266" s="256"/>
      <c r="D266" s="256"/>
      <c r="E266" s="256"/>
    </row>
    <row r="267" spans="1:5" ht="12.45" customHeight="1" x14ac:dyDescent="0.35">
      <c r="A267" s="173" t="s">
        <v>332</v>
      </c>
      <c r="B267" s="172" t="s">
        <v>256</v>
      </c>
      <c r="C267" s="292">
        <v>146305.63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292">
        <v>1102509.73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292">
        <v>7917589.3899999997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292">
        <v>5885689.25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292">
        <v>297986.88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292">
        <v>10337722.27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292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292">
        <v>51092.5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25738895.649999999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292">
        <v>16141875.619999999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9597020.0299999993</v>
      </c>
      <c r="E277" s="175"/>
    </row>
    <row r="278" spans="1:5" ht="12.65" customHeight="1" x14ac:dyDescent="0.35">
      <c r="A278" s="256" t="s">
        <v>382</v>
      </c>
      <c r="B278" s="256"/>
      <c r="C278" s="256"/>
      <c r="D278" s="256"/>
      <c r="E278" s="256"/>
    </row>
    <row r="279" spans="1:5" ht="12.65" customHeight="1" x14ac:dyDescent="0.35">
      <c r="A279" s="173" t="s">
        <v>383</v>
      </c>
      <c r="B279" s="172" t="s">
        <v>256</v>
      </c>
      <c r="C279" s="292">
        <v>1583839.38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292">
        <v>1332592.8999999999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292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292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251246.47999999998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6" t="s">
        <v>387</v>
      </c>
      <c r="B285" s="256"/>
      <c r="C285" s="256"/>
      <c r="D285" s="256"/>
      <c r="E285" s="256"/>
    </row>
    <row r="286" spans="1:5" ht="12.65" customHeight="1" x14ac:dyDescent="0.35">
      <c r="A286" s="173" t="s">
        <v>388</v>
      </c>
      <c r="B286" s="172" t="s">
        <v>256</v>
      </c>
      <c r="C286" s="292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292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292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292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33876075.739999995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6" t="s">
        <v>395</v>
      </c>
      <c r="B303" s="256"/>
      <c r="C303" s="256"/>
      <c r="D303" s="256"/>
      <c r="E303" s="256"/>
    </row>
    <row r="304" spans="1:5" ht="12.65" customHeight="1" x14ac:dyDescent="0.35">
      <c r="A304" s="173" t="s">
        <v>396</v>
      </c>
      <c r="B304" s="172" t="s">
        <v>256</v>
      </c>
      <c r="C304" s="292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292">
        <v>736481.36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292">
        <v>1507054.27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292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292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292">
        <v>9798756.4399999995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292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292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292">
        <v>23521.67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292">
        <v>4929517.8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16995331.539999999</v>
      </c>
      <c r="E314" s="175"/>
    </row>
    <row r="315" spans="1:5" ht="12.65" customHeight="1" x14ac:dyDescent="0.35">
      <c r="A315" s="256" t="s">
        <v>406</v>
      </c>
      <c r="B315" s="256"/>
      <c r="C315" s="256"/>
      <c r="D315" s="256"/>
      <c r="E315" s="256"/>
    </row>
    <row r="316" spans="1:5" ht="12.65" customHeight="1" x14ac:dyDescent="0.35">
      <c r="A316" s="173" t="s">
        <v>407</v>
      </c>
      <c r="B316" s="172" t="s">
        <v>256</v>
      </c>
      <c r="C316" s="292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292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292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6" t="s">
        <v>411</v>
      </c>
      <c r="B320" s="256"/>
      <c r="C320" s="256"/>
      <c r="D320" s="256"/>
      <c r="E320" s="256"/>
    </row>
    <row r="321" spans="1:5" ht="12.65" customHeight="1" x14ac:dyDescent="0.35">
      <c r="A321" s="173" t="s">
        <v>412</v>
      </c>
      <c r="B321" s="172" t="s">
        <v>256</v>
      </c>
      <c r="C321" s="292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292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292">
        <f>3786075.34+4201016.65</f>
        <v>7987091.9900000002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292">
        <f>1961963.73+728501.15</f>
        <v>2690464.88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292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292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292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10677556.870000001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4929517.8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5748039.0700000012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95">
        <v>11132705.130000001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95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95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95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292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292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33876075.740000002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33876075.739999995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6" t="s">
        <v>427</v>
      </c>
      <c r="B358" s="256"/>
      <c r="C358" s="256"/>
      <c r="D358" s="256"/>
      <c r="E358" s="256"/>
    </row>
    <row r="359" spans="1:5" ht="12.65" customHeight="1" x14ac:dyDescent="0.35">
      <c r="A359" s="173" t="s">
        <v>428</v>
      </c>
      <c r="B359" s="172" t="s">
        <v>256</v>
      </c>
      <c r="C359" s="292">
        <f>12347364.24+13091.75</f>
        <v>12360455.99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292">
        <f>5091777.59+56716902.66</f>
        <v>61808680.25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74169136.239999995</v>
      </c>
      <c r="E361" s="175"/>
    </row>
    <row r="362" spans="1:5" ht="12.65" customHeight="1" x14ac:dyDescent="0.35">
      <c r="A362" s="256" t="s">
        <v>431</v>
      </c>
      <c r="B362" s="256"/>
      <c r="C362" s="256"/>
      <c r="D362" s="256"/>
      <c r="E362" s="256"/>
    </row>
    <row r="363" spans="1:5" ht="12.65" customHeight="1" x14ac:dyDescent="0.35">
      <c r="A363" s="173" t="s">
        <v>1255</v>
      </c>
      <c r="B363" s="256"/>
      <c r="C363" s="292">
        <v>1207974.28</v>
      </c>
      <c r="D363" s="175"/>
      <c r="E363" s="256"/>
    </row>
    <row r="364" spans="1:5" ht="12.65" customHeight="1" x14ac:dyDescent="0.35">
      <c r="A364" s="173" t="s">
        <v>432</v>
      </c>
      <c r="B364" s="172" t="s">
        <v>256</v>
      </c>
      <c r="C364" s="292">
        <f>4464874.24+683.01+29234051.03+779408.18+1726294.11+23538.32-107001.87</f>
        <v>36121847.020000003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292">
        <v>1274683.33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292">
        <v>1205857.73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39810362.359999999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34358773.879999995</v>
      </c>
      <c r="E368" s="175"/>
    </row>
    <row r="369" spans="1:5" ht="12.65" customHeight="1" x14ac:dyDescent="0.35">
      <c r="A369" s="256" t="s">
        <v>436</v>
      </c>
      <c r="B369" s="256"/>
      <c r="C369" s="256"/>
      <c r="D369" s="256"/>
      <c r="E369" s="256"/>
    </row>
    <row r="370" spans="1:5" ht="12.65" customHeight="1" x14ac:dyDescent="0.35">
      <c r="A370" s="173" t="s">
        <v>437</v>
      </c>
      <c r="B370" s="172" t="s">
        <v>256</v>
      </c>
      <c r="C370" s="292">
        <v>964782.22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292">
        <v>1069966.8899999999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2034749.1099999999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36393522.989999995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6" t="s">
        <v>441</v>
      </c>
      <c r="B377" s="256"/>
      <c r="C377" s="256"/>
      <c r="D377" s="256"/>
      <c r="E377" s="256"/>
    </row>
    <row r="378" spans="1:5" ht="12.65" customHeight="1" x14ac:dyDescent="0.35">
      <c r="A378" s="173" t="s">
        <v>442</v>
      </c>
      <c r="B378" s="172" t="s">
        <v>256</v>
      </c>
      <c r="C378" s="292">
        <v>16675860.27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292">
        <v>3949921.4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292">
        <v>4841609.66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292">
        <v>4925909.8499999996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292">
        <v>454092.04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292">
        <v>2475830.4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292">
        <v>2015874.61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292">
        <v>272473.89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292">
        <v>521496.52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292">
        <f>34619.67-4.89+179373.1</f>
        <v>213987.88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292">
        <v>285796.57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292">
        <f>66786.34+33205.22+3062.45+2051.07+62390.44+94850.53</f>
        <v>262346.05000000005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36895199.140000001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-501676.15000000596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292">
        <f>13998.6+762684.64+181852.73-8574.72-16060.08-325.22+733.84</f>
        <v>934309.79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432633.63999999408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292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292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432633.63999999408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9"/>
    </row>
    <row r="412" spans="1:5" ht="12.65" customHeight="1" x14ac:dyDescent="0.35">
      <c r="A412" s="179" t="str">
        <f>C84&amp;"   "&amp;"H-"&amp;FIXED(C83,0,TRUE)&amp;"     FYE "&amp;C82</f>
        <v>Mid Valley Hospital   H-0     FYE 12/31/2020</v>
      </c>
      <c r="B412" s="179"/>
      <c r="C412" s="179"/>
      <c r="D412" s="179"/>
      <c r="E412" s="259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712</v>
      </c>
      <c r="C414" s="194">
        <f>E138</f>
        <v>712</v>
      </c>
      <c r="D414" s="179"/>
    </row>
    <row r="415" spans="1:5" ht="12.65" customHeight="1" x14ac:dyDescent="0.35">
      <c r="A415" s="179" t="s">
        <v>464</v>
      </c>
      <c r="B415" s="179">
        <f>D111</f>
        <v>1726</v>
      </c>
      <c r="C415" s="179">
        <f>E139</f>
        <v>1726</v>
      </c>
      <c r="D415" s="194">
        <f>SUM(C59:H59)+N59</f>
        <v>1734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1</v>
      </c>
      <c r="C417" s="194">
        <f>E144</f>
        <v>1</v>
      </c>
      <c r="D417" s="179"/>
    </row>
    <row r="418" spans="1:7" ht="12.65" customHeight="1" x14ac:dyDescent="0.35">
      <c r="A418" s="179" t="s">
        <v>466</v>
      </c>
      <c r="B418" s="179">
        <f>D112</f>
        <v>8</v>
      </c>
      <c r="C418" s="179">
        <f>E145</f>
        <v>8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266</v>
      </c>
    </row>
    <row r="424" spans="1:7" ht="12.65" customHeight="1" x14ac:dyDescent="0.35">
      <c r="A424" s="179" t="s">
        <v>1244</v>
      </c>
      <c r="B424" s="179">
        <f>D114</f>
        <v>377</v>
      </c>
      <c r="D424" s="179">
        <f>J59</f>
        <v>377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16675860.27</v>
      </c>
      <c r="C427" s="179">
        <f t="shared" ref="C427:C434" si="13">CE61</f>
        <v>16675860.270000001</v>
      </c>
      <c r="D427" s="179"/>
    </row>
    <row r="428" spans="1:7" ht="12.65" customHeight="1" x14ac:dyDescent="0.35">
      <c r="A428" s="179" t="s">
        <v>3</v>
      </c>
      <c r="B428" s="179">
        <f t="shared" si="12"/>
        <v>3949921.4</v>
      </c>
      <c r="C428" s="179">
        <f t="shared" si="13"/>
        <v>3949924</v>
      </c>
      <c r="D428" s="179">
        <f>D173</f>
        <v>3949921.4000000004</v>
      </c>
    </row>
    <row r="429" spans="1:7" ht="12.65" customHeight="1" x14ac:dyDescent="0.35">
      <c r="A429" s="179" t="s">
        <v>236</v>
      </c>
      <c r="B429" s="179">
        <f t="shared" si="12"/>
        <v>4841609.66</v>
      </c>
      <c r="C429" s="179">
        <f t="shared" si="13"/>
        <v>4841609.6599999992</v>
      </c>
      <c r="D429" s="179"/>
    </row>
    <row r="430" spans="1:7" ht="12.65" customHeight="1" x14ac:dyDescent="0.35">
      <c r="A430" s="179" t="s">
        <v>237</v>
      </c>
      <c r="B430" s="179">
        <f t="shared" si="12"/>
        <v>4925909.8499999996</v>
      </c>
      <c r="C430" s="179">
        <f t="shared" si="13"/>
        <v>4925909.5200000023</v>
      </c>
      <c r="D430" s="179"/>
    </row>
    <row r="431" spans="1:7" ht="12.65" customHeight="1" x14ac:dyDescent="0.35">
      <c r="A431" s="179" t="s">
        <v>444</v>
      </c>
      <c r="B431" s="179">
        <f t="shared" si="12"/>
        <v>454092.04</v>
      </c>
      <c r="C431" s="179">
        <f t="shared" si="13"/>
        <v>454091.60000000003</v>
      </c>
      <c r="D431" s="179"/>
    </row>
    <row r="432" spans="1:7" ht="12.65" customHeight="1" x14ac:dyDescent="0.35">
      <c r="A432" s="179" t="s">
        <v>445</v>
      </c>
      <c r="B432" s="179">
        <f t="shared" si="12"/>
        <v>2475830.4</v>
      </c>
      <c r="C432" s="179">
        <f t="shared" si="13"/>
        <v>2475830.4000000004</v>
      </c>
      <c r="D432" s="179"/>
    </row>
    <row r="433" spans="1:7" ht="12.65" customHeight="1" x14ac:dyDescent="0.35">
      <c r="A433" s="179" t="s">
        <v>6</v>
      </c>
      <c r="B433" s="179">
        <f t="shared" si="12"/>
        <v>2015874.61</v>
      </c>
      <c r="C433" s="179">
        <f t="shared" si="13"/>
        <v>2031935</v>
      </c>
      <c r="D433" s="179">
        <f>C217</f>
        <v>2005199.83</v>
      </c>
    </row>
    <row r="434" spans="1:7" ht="12.65" customHeight="1" x14ac:dyDescent="0.35">
      <c r="A434" s="179" t="s">
        <v>474</v>
      </c>
      <c r="B434" s="179">
        <f t="shared" si="12"/>
        <v>272473.89</v>
      </c>
      <c r="C434" s="179">
        <f t="shared" si="13"/>
        <v>272473.89</v>
      </c>
      <c r="D434" s="179">
        <f>D177</f>
        <v>272473.89</v>
      </c>
    </row>
    <row r="435" spans="1:7" ht="12.65" customHeight="1" x14ac:dyDescent="0.35">
      <c r="A435" s="179" t="s">
        <v>447</v>
      </c>
      <c r="B435" s="179">
        <f t="shared" si="12"/>
        <v>521496.52</v>
      </c>
      <c r="C435" s="179"/>
      <c r="D435" s="179">
        <f>D181</f>
        <v>521496.52</v>
      </c>
    </row>
    <row r="436" spans="1:7" ht="12.65" customHeight="1" x14ac:dyDescent="0.35">
      <c r="A436" s="179" t="s">
        <v>475</v>
      </c>
      <c r="B436" s="179">
        <f t="shared" si="12"/>
        <v>213987.88</v>
      </c>
      <c r="C436" s="179"/>
      <c r="D436" s="179">
        <f>D186</f>
        <v>213987.88</v>
      </c>
    </row>
    <row r="437" spans="1:7" ht="12.65" customHeight="1" x14ac:dyDescent="0.35">
      <c r="A437" s="194" t="s">
        <v>449</v>
      </c>
      <c r="B437" s="194">
        <f t="shared" si="12"/>
        <v>285796.57</v>
      </c>
      <c r="C437" s="194"/>
      <c r="D437" s="194">
        <f>D190</f>
        <v>285796.57</v>
      </c>
    </row>
    <row r="438" spans="1:7" ht="12.65" customHeight="1" x14ac:dyDescent="0.35">
      <c r="A438" s="194" t="s">
        <v>476</v>
      </c>
      <c r="B438" s="194">
        <f>C386+C387+C388</f>
        <v>1021280.97</v>
      </c>
      <c r="C438" s="194">
        <f>CD69</f>
        <v>524601.13</v>
      </c>
      <c r="D438" s="194">
        <f>D181+D186+D190</f>
        <v>1021280.97</v>
      </c>
    </row>
    <row r="439" spans="1:7" ht="12.65" customHeight="1" x14ac:dyDescent="0.35">
      <c r="A439" s="179" t="s">
        <v>451</v>
      </c>
      <c r="B439" s="194">
        <f>C389</f>
        <v>262346.05000000005</v>
      </c>
      <c r="C439" s="194">
        <f>SUM(C69:CC69)</f>
        <v>473229.32</v>
      </c>
      <c r="D439" s="179"/>
    </row>
    <row r="440" spans="1:7" ht="12.65" customHeight="1" x14ac:dyDescent="0.35">
      <c r="A440" s="179" t="s">
        <v>477</v>
      </c>
      <c r="B440" s="194">
        <f>B438+B439</f>
        <v>1283627.02</v>
      </c>
      <c r="C440" s="194">
        <f>CE69</f>
        <v>997830.45</v>
      </c>
      <c r="D440" s="179"/>
    </row>
    <row r="441" spans="1:7" ht="12.65" customHeight="1" x14ac:dyDescent="0.35">
      <c r="A441" s="179" t="s">
        <v>478</v>
      </c>
      <c r="B441" s="179">
        <f>D390</f>
        <v>36895199.140000001</v>
      </c>
      <c r="C441" s="179">
        <f>SUM(C427:C437)+C440</f>
        <v>36625464.790000014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1231512.6000000001</v>
      </c>
      <c r="C444" s="179">
        <f>C363</f>
        <v>1207974.28</v>
      </c>
      <c r="D444" s="179"/>
    </row>
    <row r="445" spans="1:7" ht="12.65" customHeight="1" x14ac:dyDescent="0.35">
      <c r="A445" s="179" t="s">
        <v>343</v>
      </c>
      <c r="B445" s="179">
        <f>D229</f>
        <v>32986742.32</v>
      </c>
      <c r="C445" s="179">
        <f>C364</f>
        <v>36121847.020000003</v>
      </c>
      <c r="D445" s="179"/>
    </row>
    <row r="446" spans="1:7" ht="12.65" customHeight="1" x14ac:dyDescent="0.35">
      <c r="A446" s="179" t="s">
        <v>351</v>
      </c>
      <c r="B446" s="179">
        <f>D236</f>
        <v>1274683.33</v>
      </c>
      <c r="C446" s="179">
        <f>C365</f>
        <v>1274683.33</v>
      </c>
      <c r="D446" s="179"/>
    </row>
    <row r="447" spans="1:7" ht="12.65" customHeight="1" x14ac:dyDescent="0.35">
      <c r="A447" s="179" t="s">
        <v>356</v>
      </c>
      <c r="B447" s="179">
        <f>D240</f>
        <v>4317424.1099999994</v>
      </c>
      <c r="C447" s="179">
        <f>C366</f>
        <v>1205857.73</v>
      </c>
      <c r="D447" s="179"/>
    </row>
    <row r="448" spans="1:7" ht="12.65" customHeight="1" x14ac:dyDescent="0.35">
      <c r="A448" s="179" t="s">
        <v>358</v>
      </c>
      <c r="B448" s="179">
        <f>D242</f>
        <v>39810362.359999999</v>
      </c>
      <c r="C448" s="179">
        <f>D367</f>
        <v>39810362.359999999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2155</v>
      </c>
    </row>
    <row r="454" spans="1:7" ht="12.65" customHeight="1" x14ac:dyDescent="0.35">
      <c r="A454" s="179" t="s">
        <v>168</v>
      </c>
      <c r="B454" s="179">
        <f>C233</f>
        <v>240539.05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1034144.28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964782.22</v>
      </c>
      <c r="C458" s="194">
        <f>CE70</f>
        <v>964782.22</v>
      </c>
      <c r="D458" s="194"/>
    </row>
    <row r="459" spans="1:7" ht="12.65" customHeight="1" x14ac:dyDescent="0.35">
      <c r="A459" s="179" t="s">
        <v>244</v>
      </c>
      <c r="B459" s="194">
        <f>C371</f>
        <v>1069966.8899999999</v>
      </c>
      <c r="C459" s="194">
        <f>CE72</f>
        <v>1045047.69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12360455.99</v>
      </c>
      <c r="C463" s="194">
        <f>CE73</f>
        <v>12360455.989999998</v>
      </c>
      <c r="D463" s="194">
        <f>E141+E147+E153</f>
        <v>12360455.99</v>
      </c>
    </row>
    <row r="464" spans="1:7" ht="12.65" customHeight="1" x14ac:dyDescent="0.35">
      <c r="A464" s="179" t="s">
        <v>246</v>
      </c>
      <c r="B464" s="194">
        <f>C360</f>
        <v>61808680.25</v>
      </c>
      <c r="C464" s="194">
        <f>CE74</f>
        <v>61808680.250000007</v>
      </c>
      <c r="D464" s="194">
        <f>E142+E148+E154</f>
        <v>61808680.25</v>
      </c>
    </row>
    <row r="465" spans="1:7" ht="12.65" customHeight="1" x14ac:dyDescent="0.35">
      <c r="A465" s="179" t="s">
        <v>247</v>
      </c>
      <c r="B465" s="194">
        <f>D361</f>
        <v>74169136.239999995</v>
      </c>
      <c r="C465" s="194">
        <f>CE75</f>
        <v>74169136.239999995</v>
      </c>
      <c r="D465" s="194">
        <f>D463+D464</f>
        <v>74169136.239999995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146305.63</v>
      </c>
      <c r="C468" s="179">
        <f>E195</f>
        <v>146305.63</v>
      </c>
      <c r="D468" s="179"/>
    </row>
    <row r="469" spans="1:7" ht="12.65" customHeight="1" x14ac:dyDescent="0.35">
      <c r="A469" s="179" t="s">
        <v>333</v>
      </c>
      <c r="B469" s="179">
        <f t="shared" si="14"/>
        <v>1102509.73</v>
      </c>
      <c r="C469" s="179">
        <f>E196</f>
        <v>1102509.73</v>
      </c>
      <c r="D469" s="179"/>
    </row>
    <row r="470" spans="1:7" ht="12.65" customHeight="1" x14ac:dyDescent="0.35">
      <c r="A470" s="179" t="s">
        <v>334</v>
      </c>
      <c r="B470" s="179">
        <f t="shared" si="14"/>
        <v>7917589.3899999997</v>
      </c>
      <c r="C470" s="179">
        <f>E197</f>
        <v>7917588.8600000003</v>
      </c>
      <c r="D470" s="179"/>
    </row>
    <row r="471" spans="1:7" ht="12.65" customHeight="1" x14ac:dyDescent="0.35">
      <c r="A471" s="179" t="s">
        <v>494</v>
      </c>
      <c r="B471" s="179">
        <f t="shared" si="14"/>
        <v>5885689.25</v>
      </c>
      <c r="C471" s="179">
        <f>E198</f>
        <v>5885689.25</v>
      </c>
      <c r="D471" s="179"/>
    </row>
    <row r="472" spans="1:7" ht="12.65" customHeight="1" x14ac:dyDescent="0.35">
      <c r="A472" s="179" t="s">
        <v>377</v>
      </c>
      <c r="B472" s="179">
        <f t="shared" si="14"/>
        <v>297986.88</v>
      </c>
      <c r="C472" s="179">
        <f>E199</f>
        <v>297986.88</v>
      </c>
      <c r="D472" s="179"/>
    </row>
    <row r="473" spans="1:7" ht="12.65" customHeight="1" x14ac:dyDescent="0.35">
      <c r="A473" s="179" t="s">
        <v>495</v>
      </c>
      <c r="B473" s="179">
        <f t="shared" si="14"/>
        <v>10337722.27</v>
      </c>
      <c r="C473" s="179">
        <f>SUM(E200:E201)</f>
        <v>10337722.57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51092.5</v>
      </c>
      <c r="C475" s="179">
        <f>E203</f>
        <v>51092.5</v>
      </c>
      <c r="D475" s="179"/>
    </row>
    <row r="476" spans="1:7" ht="12.65" customHeight="1" x14ac:dyDescent="0.35">
      <c r="A476" s="179" t="s">
        <v>203</v>
      </c>
      <c r="B476" s="179">
        <f>D275</f>
        <v>25738895.649999999</v>
      </c>
      <c r="C476" s="179">
        <f>E204</f>
        <v>25738895.420000002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16141875.619999999</v>
      </c>
      <c r="C478" s="179">
        <f>E217</f>
        <v>16141875.620000001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33876075.739999995</v>
      </c>
    </row>
    <row r="482" spans="1:12" ht="12.65" customHeight="1" x14ac:dyDescent="0.35">
      <c r="A482" s="180" t="s">
        <v>499</v>
      </c>
      <c r="C482" s="180">
        <f>D339</f>
        <v>33876075.740000002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147</v>
      </c>
      <c r="B493" s="260" t="str">
        <f>RIGHT('2018 Prior Year'!C82,4)</f>
        <v>2018</v>
      </c>
      <c r="C493" s="260" t="str">
        <f>RIGHT(C82,4)</f>
        <v>2020</v>
      </c>
      <c r="D493" s="260" t="str">
        <f>RIGHT('2018 Prior Year'!C82,4)</f>
        <v>2018</v>
      </c>
      <c r="E493" s="260" t="str">
        <f>RIGHT(C82,4)</f>
        <v>2020</v>
      </c>
      <c r="F493" s="260" t="str">
        <f>RIGHT('2018 Prior Year'!C82,4)</f>
        <v>2018</v>
      </c>
      <c r="G493" s="260" t="str">
        <f>RIGHT(C82,4)</f>
        <v>2020</v>
      </c>
      <c r="H493" s="260"/>
      <c r="K493" s="260"/>
      <c r="L493" s="260"/>
    </row>
    <row r="494" spans="1:12" ht="12.65" customHeight="1" x14ac:dyDescent="0.3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5" customHeight="1" x14ac:dyDescent="0.35">
      <c r="A496" s="180" t="s">
        <v>512</v>
      </c>
      <c r="B496" s="239">
        <f>'2018 Prior Year'!C71</f>
        <v>0</v>
      </c>
      <c r="C496" s="239">
        <f>C71</f>
        <v>0</v>
      </c>
      <c r="D496" s="239">
        <f>'2018 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5" customHeight="1" x14ac:dyDescent="0.35">
      <c r="A497" s="180" t="s">
        <v>513</v>
      </c>
      <c r="B497" s="239">
        <f>'2018 Prior Year'!D71</f>
        <v>0</v>
      </c>
      <c r="C497" s="239">
        <f>D71</f>
        <v>0</v>
      </c>
      <c r="D497" s="239">
        <f>'2018 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5" customHeight="1" x14ac:dyDescent="0.35">
      <c r="A498" s="180" t="s">
        <v>514</v>
      </c>
      <c r="B498" s="239">
        <f>'2018 Prior Year'!E71</f>
        <v>3378392.2500000005</v>
      </c>
      <c r="C498" s="239">
        <f>E71</f>
        <v>3007172.6899999995</v>
      </c>
      <c r="D498" s="239">
        <f>'2018 Prior Year'!E59</f>
        <v>1725</v>
      </c>
      <c r="E498" s="180">
        <f>E59</f>
        <v>1734</v>
      </c>
      <c r="F498" s="262">
        <f t="shared" si="15"/>
        <v>1958.4882608695655</v>
      </c>
      <c r="G498" s="262">
        <f t="shared" si="15"/>
        <v>1734.2403056516721</v>
      </c>
      <c r="H498" s="264" t="str">
        <f t="shared" si="16"/>
        <v/>
      </c>
      <c r="I498" s="266"/>
      <c r="K498" s="260"/>
      <c r="L498" s="260"/>
    </row>
    <row r="499" spans="1:12" ht="12.65" customHeight="1" x14ac:dyDescent="0.35">
      <c r="A499" s="180" t="s">
        <v>515</v>
      </c>
      <c r="B499" s="239">
        <f>'2018 Prior Year'!F71</f>
        <v>0</v>
      </c>
      <c r="C499" s="239">
        <f>F71</f>
        <v>335543.83999999997</v>
      </c>
      <c r="D499" s="239">
        <f>'2018 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5" customHeight="1" x14ac:dyDescent="0.35">
      <c r="A500" s="180" t="s">
        <v>516</v>
      </c>
      <c r="B500" s="239">
        <f>'2018 Prior Year'!G71</f>
        <v>0</v>
      </c>
      <c r="C500" s="239">
        <f>G71</f>
        <v>0</v>
      </c>
      <c r="D500" s="239">
        <f>'2018 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5" customHeight="1" x14ac:dyDescent="0.35">
      <c r="A501" s="180" t="s">
        <v>517</v>
      </c>
      <c r="B501" s="239">
        <f>'2018 Prior Year'!H71</f>
        <v>0</v>
      </c>
      <c r="C501" s="239">
        <f>H71</f>
        <v>0</v>
      </c>
      <c r="D501" s="239">
        <f>'2018 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5" customHeight="1" x14ac:dyDescent="0.35">
      <c r="A502" s="180" t="s">
        <v>518</v>
      </c>
      <c r="B502" s="239">
        <f>'2018 Prior Year'!I71</f>
        <v>0</v>
      </c>
      <c r="C502" s="239">
        <f>I71</f>
        <v>0</v>
      </c>
      <c r="D502" s="239">
        <f>'2018 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5" customHeight="1" x14ac:dyDescent="0.35">
      <c r="A503" s="180" t="s">
        <v>519</v>
      </c>
      <c r="B503" s="239">
        <f>'2018 Prior Year'!J71</f>
        <v>397</v>
      </c>
      <c r="C503" s="239">
        <f>J71</f>
        <v>2204</v>
      </c>
      <c r="D503" s="239">
        <f>'2018 Prior Year'!J59</f>
        <v>387</v>
      </c>
      <c r="E503" s="180">
        <f>J59</f>
        <v>377</v>
      </c>
      <c r="F503" s="262">
        <f t="shared" si="15"/>
        <v>1.0258397932816536</v>
      </c>
      <c r="G503" s="262">
        <f t="shared" si="15"/>
        <v>5.8461538461538458</v>
      </c>
      <c r="H503" s="264">
        <f t="shared" si="16"/>
        <v>4.6988955628754123</v>
      </c>
      <c r="I503" s="266"/>
      <c r="K503" s="260"/>
      <c r="L503" s="260"/>
    </row>
    <row r="504" spans="1:12" ht="12.65" customHeight="1" x14ac:dyDescent="0.35">
      <c r="A504" s="180" t="s">
        <v>520</v>
      </c>
      <c r="B504" s="239">
        <f>'2018 Prior Year'!K71</f>
        <v>0</v>
      </c>
      <c r="C504" s="239">
        <f>K71</f>
        <v>0</v>
      </c>
      <c r="D504" s="239">
        <f>'2018 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5" customHeight="1" x14ac:dyDescent="0.35">
      <c r="A505" s="180" t="s">
        <v>521</v>
      </c>
      <c r="B505" s="239">
        <f>'2018 Prior Year'!L71</f>
        <v>77636.75</v>
      </c>
      <c r="C505" s="239">
        <f>L71</f>
        <v>0</v>
      </c>
      <c r="D505" s="239">
        <f>'2018 Prior Year'!L59</f>
        <v>49</v>
      </c>
      <c r="E505" s="180">
        <f>L59</f>
        <v>0</v>
      </c>
      <c r="F505" s="262">
        <f t="shared" si="15"/>
        <v>1584.4234693877552</v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5" customHeight="1" x14ac:dyDescent="0.35">
      <c r="A506" s="180" t="s">
        <v>522</v>
      </c>
      <c r="B506" s="239">
        <f>'2018 Prior Year'!M71</f>
        <v>0</v>
      </c>
      <c r="C506" s="239">
        <f>M71</f>
        <v>0</v>
      </c>
      <c r="D506" s="239">
        <f>'2018 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5" customHeight="1" x14ac:dyDescent="0.35">
      <c r="A507" s="180" t="s">
        <v>523</v>
      </c>
      <c r="B507" s="239">
        <f>'2018 Prior Year'!N71</f>
        <v>0</v>
      </c>
      <c r="C507" s="239">
        <f>N71</f>
        <v>0</v>
      </c>
      <c r="D507" s="239">
        <f>'2018 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5" customHeight="1" x14ac:dyDescent="0.35">
      <c r="A508" s="180" t="s">
        <v>524</v>
      </c>
      <c r="B508" s="239">
        <f>'2018 Prior Year'!O71</f>
        <v>1298693</v>
      </c>
      <c r="C508" s="239">
        <f>O71</f>
        <v>1204764.04</v>
      </c>
      <c r="D508" s="239">
        <f>'2018 Prior Year'!O59</f>
        <v>216</v>
      </c>
      <c r="E508" s="180">
        <f>O59</f>
        <v>266</v>
      </c>
      <c r="F508" s="262">
        <f t="shared" si="15"/>
        <v>6012.4675925925922</v>
      </c>
      <c r="G508" s="262">
        <f t="shared" si="15"/>
        <v>4529.1881203007524</v>
      </c>
      <c r="H508" s="264" t="str">
        <f t="shared" si="16"/>
        <v/>
      </c>
      <c r="I508" s="266"/>
      <c r="K508" s="260"/>
      <c r="L508" s="260"/>
    </row>
    <row r="509" spans="1:12" ht="12.65" customHeight="1" x14ac:dyDescent="0.35">
      <c r="A509" s="180" t="s">
        <v>525</v>
      </c>
      <c r="B509" s="239">
        <f>'2018 Prior Year'!P71</f>
        <v>1512109</v>
      </c>
      <c r="C509" s="239">
        <f>P71</f>
        <v>2387383.84</v>
      </c>
      <c r="D509" s="239">
        <f>'2018 Prior Year'!P59</f>
        <v>116968</v>
      </c>
      <c r="E509" s="180">
        <f>P59</f>
        <v>105339</v>
      </c>
      <c r="F509" s="262">
        <f t="shared" si="15"/>
        <v>12.927544285616579</v>
      </c>
      <c r="G509" s="262">
        <f t="shared" si="15"/>
        <v>22.663817199707609</v>
      </c>
      <c r="H509" s="264">
        <f t="shared" si="16"/>
        <v>0.75314171810061281</v>
      </c>
      <c r="I509" s="266"/>
      <c r="K509" s="260"/>
      <c r="L509" s="260"/>
    </row>
    <row r="510" spans="1:12" ht="12.65" customHeight="1" x14ac:dyDescent="0.35">
      <c r="A510" s="180" t="s">
        <v>526</v>
      </c>
      <c r="B510" s="239">
        <f>'2018 Prior Year'!Q71</f>
        <v>608889</v>
      </c>
      <c r="C510" s="239">
        <f>Q71</f>
        <v>711505.1399999999</v>
      </c>
      <c r="D510" s="239">
        <f>'2018 Prior Year'!Q59</f>
        <v>125899</v>
      </c>
      <c r="E510" s="180">
        <f>Q59</f>
        <v>118412</v>
      </c>
      <c r="F510" s="262">
        <f t="shared" si="15"/>
        <v>4.8363291209620414</v>
      </c>
      <c r="G510" s="262">
        <f t="shared" si="15"/>
        <v>6.0087249603080757</v>
      </c>
      <c r="H510" s="264" t="str">
        <f t="shared" si="16"/>
        <v/>
      </c>
      <c r="I510" s="266"/>
      <c r="K510" s="260"/>
      <c r="L510" s="260"/>
    </row>
    <row r="511" spans="1:12" ht="12.65" customHeight="1" x14ac:dyDescent="0.35">
      <c r="A511" s="180" t="s">
        <v>527</v>
      </c>
      <c r="B511" s="239">
        <f>'2018 Prior Year'!R71</f>
        <v>834553</v>
      </c>
      <c r="C511" s="239">
        <f>R71</f>
        <v>902411.13</v>
      </c>
      <c r="D511" s="239">
        <f>'2018 Prior Year'!R59</f>
        <v>125724</v>
      </c>
      <c r="E511" s="180">
        <f>R59</f>
        <v>117096</v>
      </c>
      <c r="F511" s="262">
        <f t="shared" si="15"/>
        <v>6.6379768381534152</v>
      </c>
      <c r="G511" s="262">
        <f t="shared" si="15"/>
        <v>7.7065922832547651</v>
      </c>
      <c r="H511" s="264" t="str">
        <f t="shared" si="16"/>
        <v/>
      </c>
      <c r="I511" s="266"/>
      <c r="K511" s="260"/>
      <c r="L511" s="260"/>
    </row>
    <row r="512" spans="1:12" ht="12.65" customHeight="1" x14ac:dyDescent="0.35">
      <c r="A512" s="180" t="s">
        <v>528</v>
      </c>
      <c r="B512" s="239">
        <f>'2018 Prior Year'!S71</f>
        <v>2247146.4</v>
      </c>
      <c r="C512" s="239">
        <f>S71</f>
        <v>1313583.17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5" customHeight="1" x14ac:dyDescent="0.35">
      <c r="A513" s="180" t="s">
        <v>1246</v>
      </c>
      <c r="B513" s="239">
        <f>'2018 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5" customHeight="1" x14ac:dyDescent="0.35">
      <c r="A514" s="180" t="s">
        <v>530</v>
      </c>
      <c r="B514" s="239">
        <f>'2018 Prior Year'!U71</f>
        <v>1398384</v>
      </c>
      <c r="C514" s="239">
        <f>U71</f>
        <v>1827033.74</v>
      </c>
      <c r="D514" s="239">
        <f>'2018 Prior Year'!U59</f>
        <v>73713</v>
      </c>
      <c r="E514" s="180">
        <f>U59</f>
        <v>78116</v>
      </c>
      <c r="F514" s="262">
        <f t="shared" si="17"/>
        <v>18.97065646493834</v>
      </c>
      <c r="G514" s="262">
        <f t="shared" si="17"/>
        <v>23.388726253264377</v>
      </c>
      <c r="H514" s="264" t="str">
        <f t="shared" si="16"/>
        <v/>
      </c>
      <c r="I514" s="266"/>
      <c r="K514" s="260"/>
      <c r="L514" s="260"/>
    </row>
    <row r="515" spans="1:12" ht="12.65" customHeight="1" x14ac:dyDescent="0.35">
      <c r="A515" s="180" t="s">
        <v>531</v>
      </c>
      <c r="B515" s="239">
        <f>'2018 Prior Year'!V71</f>
        <v>1296</v>
      </c>
      <c r="C515" s="239">
        <f>V71</f>
        <v>0</v>
      </c>
      <c r="D515" s="239">
        <f>'2018 Prior Year'!V59</f>
        <v>2350</v>
      </c>
      <c r="E515" s="180">
        <f>V59</f>
        <v>2196</v>
      </c>
      <c r="F515" s="262">
        <f t="shared" si="17"/>
        <v>0.5514893617021277</v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5" customHeight="1" x14ac:dyDescent="0.35">
      <c r="A516" s="180" t="s">
        <v>532</v>
      </c>
      <c r="B516" s="239">
        <f>'2018 Prior Year'!W71</f>
        <v>0</v>
      </c>
      <c r="C516" s="239">
        <f>W71</f>
        <v>0</v>
      </c>
      <c r="D516" s="239">
        <f>'2018 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5" customHeight="1" x14ac:dyDescent="0.35">
      <c r="A517" s="180" t="s">
        <v>533</v>
      </c>
      <c r="B517" s="239">
        <f>'2018 Prior Year'!X71</f>
        <v>0</v>
      </c>
      <c r="C517" s="239">
        <f>X71</f>
        <v>0</v>
      </c>
      <c r="D517" s="239">
        <f>'2018 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5" customHeight="1" x14ac:dyDescent="0.35">
      <c r="A518" s="180" t="s">
        <v>534</v>
      </c>
      <c r="B518" s="239">
        <f>'2018 Prior Year'!Y71</f>
        <v>3026966</v>
      </c>
      <c r="C518" s="239">
        <f>Y71</f>
        <v>3344922.0200000005</v>
      </c>
      <c r="D518" s="239">
        <f>'2018 Prior Year'!Y59</f>
        <v>0</v>
      </c>
      <c r="E518" s="180">
        <f>Y59</f>
        <v>15720</v>
      </c>
      <c r="F518" s="262" t="str">
        <f t="shared" si="17"/>
        <v/>
      </c>
      <c r="G518" s="262">
        <f t="shared" si="17"/>
        <v>212.78129898218833</v>
      </c>
      <c r="H518" s="264" t="str">
        <f t="shared" si="16"/>
        <v/>
      </c>
      <c r="I518" s="266"/>
      <c r="K518" s="260"/>
      <c r="L518" s="260"/>
    </row>
    <row r="519" spans="1:12" ht="12.65" customHeight="1" x14ac:dyDescent="0.35">
      <c r="A519" s="180" t="s">
        <v>535</v>
      </c>
      <c r="B519" s="239">
        <f>'2018 Prior Year'!Z71</f>
        <v>0</v>
      </c>
      <c r="C519" s="239">
        <f>Z71</f>
        <v>0</v>
      </c>
      <c r="D519" s="239">
        <f>'2018 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5" customHeight="1" x14ac:dyDescent="0.35">
      <c r="A520" s="180" t="s">
        <v>536</v>
      </c>
      <c r="B520" s="239">
        <f>'2018 Prior Year'!AA71</f>
        <v>0</v>
      </c>
      <c r="C520" s="239">
        <f>AA71</f>
        <v>0</v>
      </c>
      <c r="D520" s="239">
        <f>'2018 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5" customHeight="1" x14ac:dyDescent="0.35">
      <c r="A521" s="180" t="s">
        <v>537</v>
      </c>
      <c r="B521" s="239">
        <f>'2018 Prior Year'!AB71</f>
        <v>783971.66</v>
      </c>
      <c r="C521" s="239">
        <f>AB71</f>
        <v>484140.26000000007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5" customHeight="1" x14ac:dyDescent="0.35">
      <c r="A522" s="180" t="s">
        <v>538</v>
      </c>
      <c r="B522" s="239">
        <f>'2018 Prior Year'!AC71</f>
        <v>350796</v>
      </c>
      <c r="C522" s="239">
        <f>AC71</f>
        <v>367946.74000000005</v>
      </c>
      <c r="D522" s="239">
        <f>'2018 Prior Year'!AC59</f>
        <v>1432</v>
      </c>
      <c r="E522" s="180">
        <f>AC59</f>
        <v>2938</v>
      </c>
      <c r="F522" s="262">
        <f t="shared" si="17"/>
        <v>244.96927374301677</v>
      </c>
      <c r="G522" s="262">
        <f t="shared" si="17"/>
        <v>125.23714771953712</v>
      </c>
      <c r="H522" s="264">
        <f t="shared" si="16"/>
        <v>-0.48876385268253586</v>
      </c>
      <c r="I522" s="266"/>
      <c r="K522" s="260"/>
      <c r="L522" s="260"/>
    </row>
    <row r="523" spans="1:12" ht="12.65" customHeight="1" x14ac:dyDescent="0.35">
      <c r="A523" s="180" t="s">
        <v>539</v>
      </c>
      <c r="B523" s="239">
        <f>'2018 Prior Year'!AD71</f>
        <v>0</v>
      </c>
      <c r="C523" s="239">
        <f>AD71</f>
        <v>0</v>
      </c>
      <c r="D523" s="239">
        <f>'2018 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5" customHeight="1" x14ac:dyDescent="0.35">
      <c r="A524" s="180" t="s">
        <v>540</v>
      </c>
      <c r="B524" s="239">
        <f>'2018 Prior Year'!AE71</f>
        <v>610603.05000000005</v>
      </c>
      <c r="C524" s="239">
        <f>AE71</f>
        <v>647561.95999999973</v>
      </c>
      <c r="D524" s="239">
        <f>'2018 Prior Year'!AE59</f>
        <v>12540</v>
      </c>
      <c r="E524" s="180">
        <f>AE59</f>
        <v>10175</v>
      </c>
      <c r="F524" s="262">
        <f t="shared" si="17"/>
        <v>48.692428229665076</v>
      </c>
      <c r="G524" s="262">
        <f t="shared" si="17"/>
        <v>63.642453071253044</v>
      </c>
      <c r="H524" s="264">
        <f t="shared" si="16"/>
        <v>0.30702976592323461</v>
      </c>
      <c r="I524" s="266"/>
      <c r="K524" s="260"/>
      <c r="L524" s="260"/>
    </row>
    <row r="525" spans="1:12" ht="12.65" customHeight="1" x14ac:dyDescent="0.35">
      <c r="A525" s="180" t="s">
        <v>541</v>
      </c>
      <c r="B525" s="239">
        <f>'2018 Prior Year'!AF71</f>
        <v>0</v>
      </c>
      <c r="C525" s="239">
        <f>AF71</f>
        <v>0</v>
      </c>
      <c r="D525" s="239">
        <f>'2018 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5" customHeight="1" x14ac:dyDescent="0.35">
      <c r="A526" s="180" t="s">
        <v>542</v>
      </c>
      <c r="B526" s="239">
        <f>'2018 Prior Year'!AG71</f>
        <v>3926256</v>
      </c>
      <c r="C526" s="239">
        <f>AG71</f>
        <v>4472780.9300000006</v>
      </c>
      <c r="D526" s="239">
        <f>'2018 Prior Year'!AG59</f>
        <v>8824</v>
      </c>
      <c r="E526" s="180">
        <f>AG59</f>
        <v>8307</v>
      </c>
      <c r="F526" s="262">
        <f t="shared" si="17"/>
        <v>444.95194922937441</v>
      </c>
      <c r="G526" s="262">
        <f t="shared" si="17"/>
        <v>538.43516672685689</v>
      </c>
      <c r="H526" s="264" t="str">
        <f t="shared" si="16"/>
        <v/>
      </c>
      <c r="I526" s="266"/>
      <c r="K526" s="260"/>
      <c r="L526" s="260"/>
    </row>
    <row r="527" spans="1:12" ht="12.65" customHeight="1" x14ac:dyDescent="0.35">
      <c r="A527" s="180" t="s">
        <v>543</v>
      </c>
      <c r="B527" s="239">
        <f>'2018 Prior Year'!AH71</f>
        <v>0</v>
      </c>
      <c r="C527" s="239">
        <f>AH71</f>
        <v>0</v>
      </c>
      <c r="D527" s="239">
        <f>'2018 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5" customHeight="1" x14ac:dyDescent="0.35">
      <c r="A528" s="180" t="s">
        <v>544</v>
      </c>
      <c r="B528" s="239">
        <f>'2018 Prior Year'!AI71</f>
        <v>0</v>
      </c>
      <c r="C528" s="239">
        <f>AI71</f>
        <v>0</v>
      </c>
      <c r="D528" s="239">
        <f>'2018 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5" customHeight="1" x14ac:dyDescent="0.35">
      <c r="A529" s="180" t="s">
        <v>545</v>
      </c>
      <c r="B529" s="239">
        <f>'2018 Prior Year'!AJ71</f>
        <v>0</v>
      </c>
      <c r="C529" s="239">
        <f>AJ71</f>
        <v>0</v>
      </c>
      <c r="D529" s="239">
        <f>'2018 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5" customHeight="1" x14ac:dyDescent="0.35">
      <c r="A530" s="180" t="s">
        <v>546</v>
      </c>
      <c r="B530" s="239">
        <f>'2018 Prior Year'!AK71</f>
        <v>0</v>
      </c>
      <c r="C530" s="239">
        <f>AK71</f>
        <v>0</v>
      </c>
      <c r="D530" s="239">
        <f>'2018 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5" customHeight="1" x14ac:dyDescent="0.35">
      <c r="A531" s="180" t="s">
        <v>547</v>
      </c>
      <c r="B531" s="239">
        <f>'2018 Prior Year'!AL71</f>
        <v>0</v>
      </c>
      <c r="C531" s="239">
        <f>AL71</f>
        <v>0</v>
      </c>
      <c r="D531" s="239">
        <f>'2018 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5" customHeight="1" x14ac:dyDescent="0.35">
      <c r="A532" s="180" t="s">
        <v>548</v>
      </c>
      <c r="B532" s="239">
        <f>'2018 Prior Year'!AM71</f>
        <v>0</v>
      </c>
      <c r="C532" s="239">
        <f>AM71</f>
        <v>0</v>
      </c>
      <c r="D532" s="239">
        <f>'2018 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5" customHeight="1" x14ac:dyDescent="0.35">
      <c r="A533" s="180" t="s">
        <v>1247</v>
      </c>
      <c r="B533" s="239">
        <f>'2018 Prior Year'!AN71</f>
        <v>0</v>
      </c>
      <c r="C533" s="239">
        <f>AN71</f>
        <v>0</v>
      </c>
      <c r="D533" s="239">
        <f>'2018 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5" customHeight="1" x14ac:dyDescent="0.35">
      <c r="A534" s="180" t="s">
        <v>549</v>
      </c>
      <c r="B534" s="239">
        <f>'2018 Prior Year'!AO71</f>
        <v>0</v>
      </c>
      <c r="C534" s="239">
        <f>AO71</f>
        <v>0</v>
      </c>
      <c r="D534" s="239">
        <f>'2018 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5" customHeight="1" x14ac:dyDescent="0.35">
      <c r="A535" s="180" t="s">
        <v>550</v>
      </c>
      <c r="B535" s="239">
        <f>'2018 Prior Year'!AP71</f>
        <v>5276360</v>
      </c>
      <c r="C535" s="239">
        <f>AP71</f>
        <v>6220750.4900000002</v>
      </c>
      <c r="D535" s="239">
        <f>'2018 Prior Year'!AP59</f>
        <v>19884</v>
      </c>
      <c r="E535" s="180">
        <f>AP59</f>
        <v>19595</v>
      </c>
      <c r="F535" s="262">
        <f t="shared" si="18"/>
        <v>265.35707101186881</v>
      </c>
      <c r="G535" s="262">
        <f t="shared" si="18"/>
        <v>317.46621536106153</v>
      </c>
      <c r="H535" s="264" t="str">
        <f t="shared" si="16"/>
        <v/>
      </c>
      <c r="I535" s="266"/>
      <c r="K535" s="260"/>
      <c r="L535" s="260"/>
    </row>
    <row r="536" spans="1:12" ht="12.65" customHeight="1" x14ac:dyDescent="0.35">
      <c r="A536" s="180" t="s">
        <v>551</v>
      </c>
      <c r="B536" s="239">
        <f>'2018 Prior Year'!AQ71</f>
        <v>0</v>
      </c>
      <c r="C536" s="239">
        <f>AQ71</f>
        <v>0</v>
      </c>
      <c r="D536" s="239">
        <f>'2018 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5" customHeight="1" x14ac:dyDescent="0.35">
      <c r="A537" s="180" t="s">
        <v>552</v>
      </c>
      <c r="B537" s="239">
        <f>'2018 Prior Year'!AR71</f>
        <v>0</v>
      </c>
      <c r="C537" s="239">
        <f>AR71</f>
        <v>0</v>
      </c>
      <c r="D537" s="239">
        <f>'2018 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5" customHeight="1" x14ac:dyDescent="0.35">
      <c r="A538" s="180" t="s">
        <v>553</v>
      </c>
      <c r="B538" s="239">
        <f>'2018 Prior Year'!AS71</f>
        <v>0</v>
      </c>
      <c r="C538" s="239">
        <f>AS71</f>
        <v>0</v>
      </c>
      <c r="D538" s="239">
        <f>'2018 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5" customHeight="1" x14ac:dyDescent="0.35">
      <c r="A539" s="180" t="s">
        <v>554</v>
      </c>
      <c r="B539" s="239">
        <f>'2018 Prior Year'!AT71</f>
        <v>0</v>
      </c>
      <c r="C539" s="239">
        <f>AT71</f>
        <v>0</v>
      </c>
      <c r="D539" s="239">
        <f>'2018 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5" customHeight="1" x14ac:dyDescent="0.35">
      <c r="A540" s="180" t="s">
        <v>555</v>
      </c>
      <c r="B540" s="239">
        <f>'2018 Prior Year'!AU71</f>
        <v>0</v>
      </c>
      <c r="C540" s="239">
        <f>AU71</f>
        <v>0</v>
      </c>
      <c r="D540" s="239">
        <f>'2018 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5" customHeight="1" x14ac:dyDescent="0.35">
      <c r="A541" s="180" t="s">
        <v>556</v>
      </c>
      <c r="B541" s="239">
        <f>'2018 Prior Year'!AV71</f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5" customHeight="1" x14ac:dyDescent="0.35">
      <c r="A542" s="180" t="s">
        <v>1248</v>
      </c>
      <c r="B542" s="239">
        <f>'2018 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5" customHeight="1" x14ac:dyDescent="0.35">
      <c r="A543" s="180" t="s">
        <v>557</v>
      </c>
      <c r="B543" s="239">
        <f>'2018 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5" customHeight="1" x14ac:dyDescent="0.35">
      <c r="A544" s="180" t="s">
        <v>558</v>
      </c>
      <c r="B544" s="239">
        <f>'2018 Prior Year'!AY71</f>
        <v>378086.17</v>
      </c>
      <c r="C544" s="239">
        <f>AY71</f>
        <v>479543.86</v>
      </c>
      <c r="D544" s="239">
        <f>'2018 Prior Year'!AY59</f>
        <v>8233</v>
      </c>
      <c r="E544" s="180">
        <f>AY59</f>
        <v>8264</v>
      </c>
      <c r="F544" s="262">
        <f t="shared" ref="F544:G550" si="19">IF(B544=0,"",IF(D544=0,"",B544/D544))</f>
        <v>45.923256407141984</v>
      </c>
      <c r="G544" s="262">
        <f t="shared" si="19"/>
        <v>58.028056631171346</v>
      </c>
      <c r="H544" s="264">
        <f t="shared" si="16"/>
        <v>0.26358758439758256</v>
      </c>
      <c r="I544" s="266"/>
      <c r="K544" s="260"/>
      <c r="L544" s="260"/>
    </row>
    <row r="545" spans="1:13" ht="12.65" customHeight="1" x14ac:dyDescent="0.35">
      <c r="A545" s="180" t="s">
        <v>559</v>
      </c>
      <c r="B545" s="239">
        <f>'2018 Prior Year'!AZ71</f>
        <v>0</v>
      </c>
      <c r="C545" s="239">
        <f>AZ71</f>
        <v>0</v>
      </c>
      <c r="D545" s="239">
        <f>'2018 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5" customHeight="1" x14ac:dyDescent="0.35">
      <c r="A546" s="180" t="s">
        <v>560</v>
      </c>
      <c r="B546" s="239">
        <f>'2018 Prior Year'!BA71</f>
        <v>133852</v>
      </c>
      <c r="C546" s="239">
        <f>BA71</f>
        <v>175166.69999999998</v>
      </c>
      <c r="D546" s="239">
        <f>'2018 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5" customHeight="1" x14ac:dyDescent="0.35">
      <c r="A547" s="180" t="s">
        <v>561</v>
      </c>
      <c r="B547" s="239">
        <f>'2018 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5" customHeight="1" x14ac:dyDescent="0.35">
      <c r="A548" s="180" t="s">
        <v>562</v>
      </c>
      <c r="B548" s="239">
        <f>'2018 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5" customHeight="1" x14ac:dyDescent="0.35">
      <c r="A549" s="180" t="s">
        <v>563</v>
      </c>
      <c r="B549" s="239">
        <f>'2018 Prior Year'!BD71</f>
        <v>128093</v>
      </c>
      <c r="C549" s="239">
        <f>BD71</f>
        <v>161829.66999999998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5" customHeight="1" x14ac:dyDescent="0.35">
      <c r="A550" s="180" t="s">
        <v>564</v>
      </c>
      <c r="B550" s="239">
        <f>'2018 Prior Year'!BE71</f>
        <v>795394</v>
      </c>
      <c r="C550" s="239">
        <f>BE71</f>
        <v>1030423.62</v>
      </c>
      <c r="D550" s="239">
        <f>'2018 Prior Year'!BE59</f>
        <v>82579</v>
      </c>
      <c r="E550" s="180">
        <f>BE59</f>
        <v>82579</v>
      </c>
      <c r="F550" s="262">
        <f t="shared" si="19"/>
        <v>9.6319161045786466</v>
      </c>
      <c r="G550" s="262">
        <f t="shared" si="19"/>
        <v>12.478034609283231</v>
      </c>
      <c r="H550" s="264">
        <f t="shared" si="16"/>
        <v>0.29548829888080608</v>
      </c>
      <c r="I550" s="266"/>
      <c r="K550" s="260"/>
      <c r="L550" s="260"/>
    </row>
    <row r="551" spans="1:13" ht="12.65" customHeight="1" x14ac:dyDescent="0.35">
      <c r="A551" s="180" t="s">
        <v>565</v>
      </c>
      <c r="B551" s="239">
        <f>'2018 Prior Year'!BF71</f>
        <v>476974</v>
      </c>
      <c r="C551" s="239">
        <f>BF71</f>
        <v>491771.07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5" customHeight="1" x14ac:dyDescent="0.35">
      <c r="A552" s="180" t="s">
        <v>566</v>
      </c>
      <c r="B552" s="239">
        <f>'2018 Prior Year'!BG71</f>
        <v>134078.20000000001</v>
      </c>
      <c r="C552" s="239">
        <f>BG71</f>
        <v>144864.37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5" customHeight="1" x14ac:dyDescent="0.35">
      <c r="A553" s="180" t="s">
        <v>567</v>
      </c>
      <c r="B553" s="239">
        <f>'2018 Prior Year'!BH71</f>
        <v>556663</v>
      </c>
      <c r="C553" s="239">
        <f>BH71</f>
        <v>822227.71000000008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5" customHeight="1" x14ac:dyDescent="0.35">
      <c r="A554" s="180" t="s">
        <v>568</v>
      </c>
      <c r="B554" s="239">
        <f>'2018 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5" customHeight="1" x14ac:dyDescent="0.35">
      <c r="A555" s="180" t="s">
        <v>569</v>
      </c>
      <c r="B555" s="239">
        <f>'2018 Prior Year'!BJ71</f>
        <v>603507</v>
      </c>
      <c r="C555" s="239">
        <f>BJ71</f>
        <v>752639.55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5" customHeight="1" x14ac:dyDescent="0.35">
      <c r="A556" s="180" t="s">
        <v>570</v>
      </c>
      <c r="B556" s="239">
        <f>'2018 Prior Year'!BK71</f>
        <v>845453</v>
      </c>
      <c r="C556" s="239">
        <f>BK71</f>
        <v>1025110.0399999999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5" customHeight="1" x14ac:dyDescent="0.35">
      <c r="A557" s="180" t="s">
        <v>571</v>
      </c>
      <c r="B557" s="239">
        <f>'2018 Prior Year'!BL71</f>
        <v>307322</v>
      </c>
      <c r="C557" s="239">
        <f>BL71</f>
        <v>278291.79000000004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5" customHeight="1" x14ac:dyDescent="0.35">
      <c r="A558" s="180" t="s">
        <v>572</v>
      </c>
      <c r="B558" s="239">
        <f>'2018 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5" customHeight="1" x14ac:dyDescent="0.35">
      <c r="A559" s="180" t="s">
        <v>573</v>
      </c>
      <c r="B559" s="239">
        <f>'2018 Prior Year'!BN71</f>
        <v>759900</v>
      </c>
      <c r="C559" s="239">
        <f>BN71</f>
        <v>975974.78999999992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5" customHeight="1" x14ac:dyDescent="0.35">
      <c r="A560" s="180" t="s">
        <v>574</v>
      </c>
      <c r="B560" s="239">
        <f>'2018 Prior Year'!BO71</f>
        <v>42479</v>
      </c>
      <c r="C560" s="239">
        <f>BO71</f>
        <v>314131.3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5" customHeight="1" x14ac:dyDescent="0.35">
      <c r="A561" s="180" t="s">
        <v>575</v>
      </c>
      <c r="B561" s="239">
        <f>'2018 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5" customHeight="1" x14ac:dyDescent="0.35">
      <c r="A562" s="180" t="s">
        <v>576</v>
      </c>
      <c r="B562" s="239">
        <f>'2018 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5" customHeight="1" x14ac:dyDescent="0.35">
      <c r="A563" s="180" t="s">
        <v>577</v>
      </c>
      <c r="B563" s="239">
        <f>'2018 Prior Year'!BR71</f>
        <v>266260</v>
      </c>
      <c r="C563" s="239">
        <f>BR71</f>
        <v>309515.07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5" customHeight="1" x14ac:dyDescent="0.35">
      <c r="A564" s="180" t="s">
        <v>1249</v>
      </c>
      <c r="B564" s="239">
        <f>'2018 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5" customHeight="1" x14ac:dyDescent="0.35">
      <c r="A565" s="180" t="s">
        <v>578</v>
      </c>
      <c r="B565" s="239">
        <f>'2018 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5" customHeight="1" x14ac:dyDescent="0.35">
      <c r="A566" s="180" t="s">
        <v>579</v>
      </c>
      <c r="B566" s="239">
        <f>'2018 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5" customHeight="1" x14ac:dyDescent="0.35">
      <c r="A567" s="180" t="s">
        <v>580</v>
      </c>
      <c r="B567" s="239">
        <f>'2018 Prior Year'!BV71</f>
        <v>583955.4</v>
      </c>
      <c r="C567" s="239">
        <f>BV71</f>
        <v>587474.97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5" customHeight="1" x14ac:dyDescent="0.35">
      <c r="A568" s="180" t="s">
        <v>581</v>
      </c>
      <c r="B568" s="239">
        <f>'2018 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5" customHeight="1" x14ac:dyDescent="0.35">
      <c r="A569" s="180" t="s">
        <v>582</v>
      </c>
      <c r="B569" s="239">
        <f>'2018 Prior Year'!BX71</f>
        <v>94281</v>
      </c>
      <c r="C569" s="239">
        <f>BX71</f>
        <v>110701.01000000001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5" customHeight="1" x14ac:dyDescent="0.35">
      <c r="A570" s="180" t="s">
        <v>583</v>
      </c>
      <c r="B570" s="239">
        <f>'2018 Prior Year'!BY71</f>
        <v>280286</v>
      </c>
      <c r="C570" s="239">
        <f>BY71</f>
        <v>281858.69999999995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5" customHeight="1" x14ac:dyDescent="0.35">
      <c r="A571" s="180" t="s">
        <v>584</v>
      </c>
      <c r="B571" s="239">
        <f>'2018 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5" customHeight="1" x14ac:dyDescent="0.35">
      <c r="A572" s="180" t="s">
        <v>585</v>
      </c>
      <c r="B572" s="239">
        <f>'2018 Prior Year'!CA71</f>
        <v>71535</v>
      </c>
      <c r="C572" s="239">
        <f>CA71</f>
        <v>109792.75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5" customHeight="1" x14ac:dyDescent="0.35">
      <c r="A573" s="180" t="s">
        <v>586</v>
      </c>
      <c r="B573" s="239">
        <f>'2018 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5" customHeight="1" x14ac:dyDescent="0.35">
      <c r="A574" s="180" t="s">
        <v>587</v>
      </c>
      <c r="B574" s="239">
        <f>'2018 Prior Year'!CC71</f>
        <v>30696</v>
      </c>
      <c r="C574" s="239">
        <f>CC71</f>
        <v>28044.92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5" customHeight="1" x14ac:dyDescent="0.35">
      <c r="A575" s="180" t="s">
        <v>588</v>
      </c>
      <c r="B575" s="239">
        <f>'2018 Prior Year'!CD71</f>
        <v>676560.96999999986</v>
      </c>
      <c r="C575" s="239">
        <f>CD71</f>
        <v>351616.69</v>
      </c>
      <c r="D575" s="181" t="s">
        <v>529</v>
      </c>
      <c r="E575" s="181" t="s">
        <v>529</v>
      </c>
      <c r="F575" s="262"/>
      <c r="G575" s="262"/>
      <c r="H575" s="264"/>
    </row>
    <row r="576" spans="1:13" ht="12.65" customHeight="1" x14ac:dyDescent="0.35">
      <c r="M576" s="264"/>
    </row>
    <row r="577" spans="13:13" ht="12.65" customHeight="1" x14ac:dyDescent="0.35">
      <c r="M577" s="264"/>
    </row>
    <row r="578" spans="13:13" ht="12.65" customHeight="1" x14ac:dyDescent="0.35">
      <c r="M578" s="264"/>
    </row>
    <row r="612" spans="1:14" ht="12.65" customHeight="1" x14ac:dyDescent="0.35">
      <c r="A612" s="196"/>
      <c r="C612" s="181" t="s">
        <v>589</v>
      </c>
      <c r="D612" s="180">
        <f>CE76-(BE76+CD76)</f>
        <v>57846</v>
      </c>
      <c r="E612" s="180">
        <f>SUM(C624:D647)+SUM(C668:D713)</f>
        <v>33720741.057718083</v>
      </c>
      <c r="F612" s="180">
        <f>CE64-(AX64+BD64+BE64+BG64+BJ64+BN64+BP64+BQ64+CB64+CC64+CD64)</f>
        <v>4851433.0500000026</v>
      </c>
      <c r="G612" s="180">
        <f>CE77-(AX77+AY77+BD77+BE77+BG77+BJ77+BN77+BP77+BQ77+CB77+CC77+CD77)</f>
        <v>8264</v>
      </c>
      <c r="H612" s="197">
        <f>CE60-(AX60+AY60+AZ60+BD60+BE60+BG60+BJ60+BN60+BO60+BP60+BQ60+BR60+CB60+CC60+CD60)</f>
        <v>189.7</v>
      </c>
      <c r="I612" s="180">
        <f>CE78-(AX78+AY78+AZ78+BD78+BE78+BF78+BG78+BJ78+BN78+BO78+BP78+BQ78+BR78+CB78+CC78+CD78)</f>
        <v>18969.63</v>
      </c>
      <c r="J612" s="180">
        <f>CE79-(AX79+AY79+AZ79+BA79+BD79+BE79+BF79+BG79+BJ79+BN79+BO79+BP79+BQ79+BR79+CB79+CC79+CD79)</f>
        <v>172592.93999999997</v>
      </c>
      <c r="K612" s="180">
        <f>CE75-(AW75+AX75+AY75+AZ75+BA75+BB75+BC75+BD75+BE75+BF75+BG75+BH75+BI75+BJ75+BK75+BL75+BM75+BN75+BO75+BP75+BQ75+BR75+BS75+BT75+BU75+BV75+BW75+BX75+CB75+CC75+CD75)</f>
        <v>74169136.239999995</v>
      </c>
      <c r="L612" s="197">
        <f>CE80-(AW80+AX80+AY80+AZ80+BA80+BB80+BC80+BD80+BE80+BF80+BG80+BH80+BI80+BJ80+BK80+BL80+BM80+BN80+BO80+BP80+BQ80+BR80+BS80+BT80+BU80+BV80+BW80+BX80+BY80+BZ80+CA80+CB80+CC80+CD80)</f>
        <v>47.639999999999993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1030423.62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351616.69</v>
      </c>
      <c r="D615" s="265">
        <f>SUM(C614:C615)</f>
        <v>1382040.31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752639.55</v>
      </c>
      <c r="D617" s="180">
        <f>(D615/D612)*BJ76</f>
        <v>14693.406469764546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144864.37</v>
      </c>
      <c r="D618" s="180">
        <f>(D615/D612)*BG76</f>
        <v>6976.3816084085329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975974.78999999992</v>
      </c>
      <c r="D619" s="180">
        <f>(D615/D612)*BN76</f>
        <v>16748.094203747882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28044.92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1939941.5122819208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161829.66999999998</v>
      </c>
      <c r="D624" s="180">
        <f>(D615/D612)*BD76</f>
        <v>8194.8592180963242</v>
      </c>
      <c r="E624" s="180">
        <f>(E623/E612)*SUM(C624:D624)</f>
        <v>9781.4470260843027</v>
      </c>
      <c r="F624" s="180">
        <f>SUM(C624:E624)</f>
        <v>179805.97624418061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479543.86</v>
      </c>
      <c r="D625" s="180">
        <f>(D615/D612)*AY76</f>
        <v>56169.428634823496</v>
      </c>
      <c r="E625" s="180">
        <f>(E623/E612)*SUM(C625:D625)</f>
        <v>30819.383403375534</v>
      </c>
      <c r="F625" s="180">
        <f>(F624/F612)*AY64</f>
        <v>6358.6752820337251</v>
      </c>
      <c r="G625" s="180">
        <f>SUM(C625:F625)</f>
        <v>572891.34732023277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309515.07</v>
      </c>
      <c r="D626" s="180">
        <f>(D615/D612)*BR76</f>
        <v>7717.0248613560143</v>
      </c>
      <c r="E626" s="180">
        <f>(E623/E612)*SUM(C626:D626)</f>
        <v>18250.242745149986</v>
      </c>
      <c r="F626" s="180">
        <f>(F624/F612)*BR64</f>
        <v>31.711370188659149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314131.3</v>
      </c>
      <c r="D627" s="180">
        <f>(D615/D612)*BO76</f>
        <v>0</v>
      </c>
      <c r="E627" s="180">
        <f>(E623/E612)*SUM(C627:D627)</f>
        <v>18071.855186516004</v>
      </c>
      <c r="F627" s="180">
        <f>(F624/F612)*BO64</f>
        <v>281.14237413559806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667998.34653734625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491771.07</v>
      </c>
      <c r="D629" s="180">
        <f>(D615/D612)*BF76</f>
        <v>8362.1012429554339</v>
      </c>
      <c r="E629" s="180">
        <f>(E623/E612)*SUM(C629:D629)</f>
        <v>28772.472672018677</v>
      </c>
      <c r="F629" s="180">
        <f>(F624/F612)*BF64</f>
        <v>1177.1926107313636</v>
      </c>
      <c r="G629" s="180">
        <f>(G625/G612)*BF77</f>
        <v>0</v>
      </c>
      <c r="H629" s="180">
        <f>(H628/H612)*BF60</f>
        <v>37502.279339076107</v>
      </c>
      <c r="I629" s="180">
        <f>SUM(C629:H629)</f>
        <v>567585.11586478155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175166.69999999998</v>
      </c>
      <c r="D630" s="180">
        <f>(D615/D612)*BA76</f>
        <v>12089.209225529856</v>
      </c>
      <c r="E630" s="180">
        <f>(E623/E612)*SUM(C630:D630)</f>
        <v>10772.761817568518</v>
      </c>
      <c r="F630" s="180">
        <f>(F624/F612)*BA64</f>
        <v>45.100178866171497</v>
      </c>
      <c r="G630" s="180">
        <f>(G625/G612)*BA77</f>
        <v>0</v>
      </c>
      <c r="H630" s="180">
        <f>(H628/H612)*BA60</f>
        <v>0</v>
      </c>
      <c r="I630" s="180">
        <f>(I629/I612)*BA78</f>
        <v>17043.743581190331</v>
      </c>
      <c r="J630" s="180">
        <f>SUM(C630:I630)</f>
        <v>215117.51480315486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1025110.0399999999</v>
      </c>
      <c r="D635" s="180">
        <f>(D615/D612)*BK76</f>
        <v>41882.181368288213</v>
      </c>
      <c r="E635" s="180">
        <f>(E623/E612)*SUM(C635:D635)</f>
        <v>61383.659984556558</v>
      </c>
      <c r="F635" s="180">
        <f>(F624/F612)*BK64</f>
        <v>806.32242505204056</v>
      </c>
      <c r="G635" s="180">
        <f>(G625/G612)*BK77</f>
        <v>0</v>
      </c>
      <c r="H635" s="180">
        <f>(H628/H612)*BK60</f>
        <v>47855.021241130926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822227.71000000008</v>
      </c>
      <c r="D636" s="180">
        <f>(D615/D612)*BH76</f>
        <v>15577.400029734121</v>
      </c>
      <c r="E636" s="180">
        <f>(E623/E612)*SUM(C636:D636)</f>
        <v>48198.611927498037</v>
      </c>
      <c r="F636" s="180">
        <f>(F624/F612)*BH64</f>
        <v>1029.1881794604867</v>
      </c>
      <c r="G636" s="180">
        <f>(G625/G612)*BH77</f>
        <v>0</v>
      </c>
      <c r="H636" s="180">
        <f>(H628/H612)*BH60</f>
        <v>13803.655869406417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278291.79000000004</v>
      </c>
      <c r="D637" s="180">
        <f>(D615/D612)*BL76</f>
        <v>6020.7128949279122</v>
      </c>
      <c r="E637" s="180">
        <f>(E623/E612)*SUM(C637:D637)</f>
        <v>16356.391037865535</v>
      </c>
      <c r="F637" s="180">
        <f>(F624/F612)*BL64</f>
        <v>638.81091649054758</v>
      </c>
      <c r="G637" s="180">
        <f>(G625/G612)*BL77</f>
        <v>0</v>
      </c>
      <c r="H637" s="180">
        <f>(H628/H612)*BL60</f>
        <v>24297.251402781705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587474.97</v>
      </c>
      <c r="D642" s="180">
        <f>(D615/D612)*BV76</f>
        <v>36028.710498219407</v>
      </c>
      <c r="E642" s="180">
        <f>(E623/E612)*SUM(C642:D642)</f>
        <v>35869.931529343186</v>
      </c>
      <c r="F642" s="180">
        <f>(F624/F612)*BV64</f>
        <v>10.505350365787891</v>
      </c>
      <c r="G642" s="180">
        <f>(G625/G612)*BV77</f>
        <v>0</v>
      </c>
      <c r="H642" s="180">
        <f>(H628/H612)*BV60</f>
        <v>27642.525146642954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110701.01000000001</v>
      </c>
      <c r="D644" s="180">
        <f>(D615/D612)*BX76</f>
        <v>0</v>
      </c>
      <c r="E644" s="180">
        <f>(E623/E612)*SUM(C644:D644)</f>
        <v>6368.5873445946336</v>
      </c>
      <c r="F644" s="180">
        <f>(F624/F612)*BX64</f>
        <v>0</v>
      </c>
      <c r="G644" s="180">
        <f>(G625/G612)*BX77</f>
        <v>0</v>
      </c>
      <c r="H644" s="180">
        <f>(H628/H612)*BX60</f>
        <v>4084.7553082937357</v>
      </c>
      <c r="I644" s="180">
        <f>(I629/I612)*BX78</f>
        <v>0</v>
      </c>
      <c r="J644" s="180">
        <f>(J630/J612)*BX79</f>
        <v>0</v>
      </c>
      <c r="K644" s="180">
        <f>SUM(C631:J644)</f>
        <v>3211659.7424546522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281858.69999999995</v>
      </c>
      <c r="D645" s="180">
        <f>(D615/D612)*BY76</f>
        <v>6331.3052268091133</v>
      </c>
      <c r="E645" s="180">
        <f>(E623/E612)*SUM(C645:D645)</f>
        <v>16579.462284274709</v>
      </c>
      <c r="F645" s="180">
        <f>(F624/F612)*BY64</f>
        <v>9.934218070367919</v>
      </c>
      <c r="G645" s="180">
        <f>(G625/G612)*BY77</f>
        <v>0</v>
      </c>
      <c r="H645" s="180">
        <f>(H628/H612)*BY60</f>
        <v>9261.1262593211413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109792.75</v>
      </c>
      <c r="D647" s="180">
        <f>(D615/D612)*CA76</f>
        <v>67804.695221450049</v>
      </c>
      <c r="E647" s="180">
        <f>(E623/E612)*SUM(C647:D647)</f>
        <v>10217.114026960237</v>
      </c>
      <c r="F647" s="180">
        <f>(F624/F612)*CA64</f>
        <v>402.74203625988144</v>
      </c>
      <c r="G647" s="180">
        <f>(G625/G612)*CA77</f>
        <v>0</v>
      </c>
      <c r="H647" s="180">
        <f>(H628/H612)*CA60</f>
        <v>140.85363132047365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502398.68290446588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8430978.5800000001</v>
      </c>
      <c r="L648" s="265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3007172.6899999995</v>
      </c>
      <c r="D670" s="180">
        <f>(D615/D612)*E76</f>
        <v>152930.88587473636</v>
      </c>
      <c r="E670" s="180">
        <f>(E623/E612)*SUM(C670:D670)</f>
        <v>181799.56660670112</v>
      </c>
      <c r="F670" s="180">
        <f>(F624/F612)*E64</f>
        <v>4600.3905847241658</v>
      </c>
      <c r="G670" s="180">
        <f>(G625/G612)*E77</f>
        <v>429668.51049017464</v>
      </c>
      <c r="H670" s="180">
        <f>(H628/H612)*E60</f>
        <v>90216.750860763379</v>
      </c>
      <c r="I670" s="180">
        <f>(I629/I612)*E78</f>
        <v>147516.66308158563</v>
      </c>
      <c r="J670" s="180">
        <f>(J630/J612)*E79</f>
        <v>111794.39012259725</v>
      </c>
      <c r="K670" s="180">
        <f>(K644/K612)*E75</f>
        <v>135585.88049795156</v>
      </c>
      <c r="L670" s="180">
        <f>(L647/L612)*E80</f>
        <v>152174.91591753659</v>
      </c>
      <c r="M670" s="180">
        <f t="shared" si="20"/>
        <v>1406288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335543.83999999997</v>
      </c>
      <c r="D671" s="180">
        <f>(D615/D612)*F76</f>
        <v>0</v>
      </c>
      <c r="E671" s="180">
        <f>(E623/E612)*SUM(C671:D671)</f>
        <v>19303.710535077196</v>
      </c>
      <c r="F671" s="180">
        <f>(F624/F612)*F64</f>
        <v>0</v>
      </c>
      <c r="G671" s="180">
        <f>(G625/G612)*F77</f>
        <v>0</v>
      </c>
      <c r="H671" s="180">
        <f>(H628/H612)*F60</f>
        <v>7641.3094991356957</v>
      </c>
      <c r="I671" s="180">
        <f>(I629/I612)*F78</f>
        <v>0</v>
      </c>
      <c r="J671" s="180">
        <f>(J630/J612)*F79</f>
        <v>0</v>
      </c>
      <c r="K671" s="180">
        <f>(K644/K612)*F75</f>
        <v>33991.681118011729</v>
      </c>
      <c r="L671" s="180">
        <f>(L647/L612)*F80</f>
        <v>0</v>
      </c>
      <c r="M671" s="180">
        <f t="shared" si="20"/>
        <v>60937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2204</v>
      </c>
      <c r="D675" s="180">
        <f>(D615/D612)*J76</f>
        <v>3392.6239328562042</v>
      </c>
      <c r="E675" s="180">
        <f>(E623/E612)*SUM(C675:D675)</f>
        <v>321.97166359406714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18276.059327880554</v>
      </c>
      <c r="L675" s="180">
        <f>(L647/L612)*J80</f>
        <v>0</v>
      </c>
      <c r="M675" s="180">
        <f t="shared" si="20"/>
        <v>21991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1204764.04</v>
      </c>
      <c r="D680" s="180">
        <f>(D615/D612)*O76</f>
        <v>42144.990264495384</v>
      </c>
      <c r="E680" s="180">
        <f>(E623/E612)*SUM(C680:D680)</f>
        <v>71734.206128771824</v>
      </c>
      <c r="F680" s="180">
        <f>(F624/F612)*O64</f>
        <v>2911.0968897039229</v>
      </c>
      <c r="G680" s="180">
        <f>(G625/G612)*O77</f>
        <v>143222.83683005819</v>
      </c>
      <c r="H680" s="180">
        <f>(H628/H612)*O60</f>
        <v>24614.172073252772</v>
      </c>
      <c r="I680" s="180">
        <f>(I629/I612)*O78</f>
        <v>38138.15515041069</v>
      </c>
      <c r="J680" s="180">
        <f>(J630/J612)*O79</f>
        <v>11468.837499603093</v>
      </c>
      <c r="K680" s="180">
        <f>(K644/K612)*O75</f>
        <v>70590.802184219734</v>
      </c>
      <c r="L680" s="180">
        <f>(L647/L612)*O80</f>
        <v>65172.625112292182</v>
      </c>
      <c r="M680" s="180">
        <f t="shared" si="20"/>
        <v>469998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2387383.84</v>
      </c>
      <c r="D681" s="180">
        <f>(D615/D612)*P76</f>
        <v>98792.253256059194</v>
      </c>
      <c r="E681" s="180">
        <f>(E623/E612)*SUM(C681:D681)</f>
        <v>143028.77276317772</v>
      </c>
      <c r="F681" s="180">
        <f>(F624/F612)*P64</f>
        <v>34611.525873630373</v>
      </c>
      <c r="G681" s="180">
        <f>(G625/G612)*P77</f>
        <v>0</v>
      </c>
      <c r="H681" s="180">
        <f>(H628/H612)*P60</f>
        <v>38488.254758319425</v>
      </c>
      <c r="I681" s="180">
        <f>(I629/I612)*P78</f>
        <v>41021.316380478456</v>
      </c>
      <c r="J681" s="180">
        <f>(J630/J612)*P79</f>
        <v>62210.417017719534</v>
      </c>
      <c r="K681" s="180">
        <f>(K644/K612)*P75</f>
        <v>270759.75225772359</v>
      </c>
      <c r="L681" s="180">
        <f>(L647/L612)*P80</f>
        <v>33219.056489275143</v>
      </c>
      <c r="M681" s="180">
        <f t="shared" si="20"/>
        <v>722131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711505.1399999999</v>
      </c>
      <c r="D682" s="180">
        <f>(D615/D612)*Q76</f>
        <v>28932.8703006258</v>
      </c>
      <c r="E682" s="180">
        <f>(E623/E612)*SUM(C682:D682)</f>
        <v>42597.119410720778</v>
      </c>
      <c r="F682" s="180">
        <f>(F624/F612)*Q64</f>
        <v>956.2322366803179</v>
      </c>
      <c r="G682" s="180">
        <f>(G625/G612)*Q77</f>
        <v>0</v>
      </c>
      <c r="H682" s="180">
        <f>(H628/H612)*Q60</f>
        <v>20881.550843260218</v>
      </c>
      <c r="I682" s="180">
        <f>(I629/I612)*Q78</f>
        <v>34379.214248237455</v>
      </c>
      <c r="J682" s="180">
        <f>(J630/J612)*Q79</f>
        <v>0</v>
      </c>
      <c r="K682" s="180">
        <f>(K644/K612)*Q75</f>
        <v>84358.158342760435</v>
      </c>
      <c r="L682" s="180">
        <f>(L647/L612)*Q80</f>
        <v>44924.819252162575</v>
      </c>
      <c r="M682" s="180">
        <f t="shared" si="20"/>
        <v>257030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902411.13</v>
      </c>
      <c r="D683" s="180">
        <f>(D615/D612)*R76</f>
        <v>0</v>
      </c>
      <c r="E683" s="180">
        <f>(E623/E612)*SUM(C683:D683)</f>
        <v>51915.371884496286</v>
      </c>
      <c r="F683" s="180">
        <f>(F624/F612)*R64</f>
        <v>328.03155727820837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103370.38221788677</v>
      </c>
      <c r="L683" s="180">
        <f>(L647/L612)*R80</f>
        <v>0</v>
      </c>
      <c r="M683" s="180">
        <f t="shared" si="20"/>
        <v>155614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1313583.17</v>
      </c>
      <c r="D684" s="180">
        <f>(D615/D612)*S76</f>
        <v>38895.716638661273</v>
      </c>
      <c r="E684" s="180">
        <f>(E623/E612)*SUM(C684:D684)</f>
        <v>77807.600140941955</v>
      </c>
      <c r="F684" s="180">
        <f>(F624/F612)*S64</f>
        <v>44775.360252351427</v>
      </c>
      <c r="G684" s="180">
        <f>(G625/G612)*S77</f>
        <v>0</v>
      </c>
      <c r="H684" s="180">
        <f>(H628/H612)*S60</f>
        <v>7183.5351973441566</v>
      </c>
      <c r="I684" s="180">
        <f>(I629/I612)*S78</f>
        <v>10437.845528322327</v>
      </c>
      <c r="J684" s="180">
        <f>(J630/J612)*S79</f>
        <v>0</v>
      </c>
      <c r="K684" s="180">
        <f>(K644/K612)*S75</f>
        <v>251007.99322047006</v>
      </c>
      <c r="L684" s="180">
        <f>(L647/L612)*S80</f>
        <v>0</v>
      </c>
      <c r="M684" s="180">
        <f t="shared" si="20"/>
        <v>430108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1827033.74</v>
      </c>
      <c r="D686" s="180">
        <f>(D615/D612)*U76</f>
        <v>28980.653736299832</v>
      </c>
      <c r="E686" s="180">
        <f>(E623/E612)*SUM(C686:D686)</f>
        <v>106775.80791118779</v>
      </c>
      <c r="F686" s="180">
        <f>(F624/F612)*U64</f>
        <v>28446.61268952868</v>
      </c>
      <c r="G686" s="180">
        <f>(G625/G612)*U77</f>
        <v>0</v>
      </c>
      <c r="H686" s="180">
        <f>(H628/H612)*U60</f>
        <v>31058.225706164441</v>
      </c>
      <c r="I686" s="180">
        <f>(I629/I612)*U78</f>
        <v>17481.483813609295</v>
      </c>
      <c r="J686" s="180">
        <f>(J630/J612)*U79</f>
        <v>0</v>
      </c>
      <c r="K686" s="180">
        <f>(K644/K612)*U75</f>
        <v>289297.49670251826</v>
      </c>
      <c r="L686" s="180">
        <f>(L647/L612)*U80</f>
        <v>0</v>
      </c>
      <c r="M686" s="180">
        <f t="shared" si="20"/>
        <v>502040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3344922.0200000005</v>
      </c>
      <c r="D690" s="180">
        <f>(D615/D612)*Y76</f>
        <v>127749.015274522</v>
      </c>
      <c r="E690" s="180">
        <f>(E623/E612)*SUM(C690:D690)</f>
        <v>199781.45463342805</v>
      </c>
      <c r="F690" s="180">
        <f>(F624/F612)*Y64</f>
        <v>13818.970623319316</v>
      </c>
      <c r="G690" s="180">
        <f>(G625/G612)*Y77</f>
        <v>0</v>
      </c>
      <c r="H690" s="180">
        <f>(H628/H612)*Y60</f>
        <v>36445.877104172556</v>
      </c>
      <c r="I690" s="180">
        <f>(I629/I612)*Y78</f>
        <v>20693.174623441941</v>
      </c>
      <c r="J690" s="180">
        <f>(J630/J612)*Y79</f>
        <v>746.68523966434577</v>
      </c>
      <c r="K690" s="180">
        <f>(K644/K612)*Y75</f>
        <v>783067.74755814369</v>
      </c>
      <c r="L690" s="180">
        <f>(L647/L612)*Y80</f>
        <v>2530.9757325162013</v>
      </c>
      <c r="M690" s="180">
        <f t="shared" si="20"/>
        <v>1184834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484140.26000000007</v>
      </c>
      <c r="D693" s="180">
        <f>(D615/D612)*AB76</f>
        <v>14048.330088165128</v>
      </c>
      <c r="E693" s="180">
        <f>(E623/E612)*SUM(C693:D693)</f>
        <v>28660.601651754867</v>
      </c>
      <c r="F693" s="180">
        <f>(F624/F612)*AB64</f>
        <v>22068.327296603999</v>
      </c>
      <c r="G693" s="180">
        <f>(G625/G612)*AB77</f>
        <v>0</v>
      </c>
      <c r="H693" s="180">
        <f>(H628/H612)*AB60</f>
        <v>7394.8156443248672</v>
      </c>
      <c r="I693" s="180">
        <f>(I629/I612)*AB78</f>
        <v>5146.065794513851</v>
      </c>
      <c r="J693" s="180">
        <f>(J630/J612)*AB79</f>
        <v>0</v>
      </c>
      <c r="K693" s="180">
        <f>(K644/K612)*AB75</f>
        <v>144374.10754164917</v>
      </c>
      <c r="L693" s="180">
        <f>(L647/L612)*AB80</f>
        <v>0</v>
      </c>
      <c r="M693" s="180">
        <f t="shared" si="20"/>
        <v>221692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367946.74000000005</v>
      </c>
      <c r="D694" s="180">
        <f>(D615/D612)*AC76</f>
        <v>9413.3368277841164</v>
      </c>
      <c r="E694" s="180">
        <f>(E623/E612)*SUM(C694:D694)</f>
        <v>21709.382865076703</v>
      </c>
      <c r="F694" s="180">
        <f>(F624/F612)*AC64</f>
        <v>1352.714425782741</v>
      </c>
      <c r="G694" s="180">
        <f>(G625/G612)*AC77</f>
        <v>0</v>
      </c>
      <c r="H694" s="180">
        <f>(H628/H612)*AC60</f>
        <v>10035.821231583748</v>
      </c>
      <c r="I694" s="180">
        <f>(I629/I612)*AC78</f>
        <v>8905.0066966870872</v>
      </c>
      <c r="J694" s="180">
        <f>(J630/J612)*AC79</f>
        <v>0</v>
      </c>
      <c r="K694" s="180">
        <f>(K644/K612)*AC75</f>
        <v>42713.076974714393</v>
      </c>
      <c r="L694" s="180">
        <f>(L647/L612)*AC80</f>
        <v>0</v>
      </c>
      <c r="M694" s="180">
        <f t="shared" si="20"/>
        <v>94129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647561.95999999973</v>
      </c>
      <c r="D696" s="180">
        <f>(D615/D612)*AE76</f>
        <v>70337.2173121737</v>
      </c>
      <c r="E696" s="180">
        <f>(E623/E612)*SUM(C696:D696)</f>
        <v>41300.468851415229</v>
      </c>
      <c r="F696" s="180">
        <f>(F624/F612)*AE64</f>
        <v>237.08846812469622</v>
      </c>
      <c r="G696" s="180">
        <f>(G625/G612)*AE77</f>
        <v>0</v>
      </c>
      <c r="H696" s="180">
        <f>(H628/H612)*AE60</f>
        <v>25248.013414194902</v>
      </c>
      <c r="I696" s="180">
        <f>(I629/I612)*AE78</f>
        <v>8174.940963876239</v>
      </c>
      <c r="J696" s="180">
        <f>(J630/J612)*AE79</f>
        <v>0</v>
      </c>
      <c r="K696" s="180">
        <f>(K644/K612)*AE75</f>
        <v>74301.496691722423</v>
      </c>
      <c r="L696" s="180">
        <f>(L647/L612)*AE80</f>
        <v>0</v>
      </c>
      <c r="M696" s="180">
        <f t="shared" si="20"/>
        <v>219599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4472780.9300000006</v>
      </c>
      <c r="D698" s="180">
        <f>(D615/D612)*AG76</f>
        <v>86034.075931092899</v>
      </c>
      <c r="E698" s="180">
        <f>(E623/E612)*SUM(C698:D698)</f>
        <v>262266.90752975846</v>
      </c>
      <c r="F698" s="180">
        <f>(F624/F612)*AG64</f>
        <v>6768.496616135797</v>
      </c>
      <c r="G698" s="180">
        <f>(G625/G612)*AG77</f>
        <v>0</v>
      </c>
      <c r="H698" s="180">
        <f>(H628/H612)*AG60</f>
        <v>54404.715097532942</v>
      </c>
      <c r="I698" s="180">
        <f>(I629/I612)*AG78</f>
        <v>156786.4034374106</v>
      </c>
      <c r="J698" s="180">
        <f>(J630/J612)*AG79</f>
        <v>28897.184923570698</v>
      </c>
      <c r="K698" s="180">
        <f>(K644/K612)*AG75</f>
        <v>544861.35961673188</v>
      </c>
      <c r="L698" s="180">
        <f>(L647/L612)*AG80</f>
        <v>78882.076996754942</v>
      </c>
      <c r="M698" s="180">
        <f t="shared" si="20"/>
        <v>1218901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6220750.4900000002</v>
      </c>
      <c r="D707" s="180">
        <f>(D615/D612)*AP76</f>
        <v>375792.82985841716</v>
      </c>
      <c r="E707" s="180">
        <f>(E623/E612)*SUM(C707:D707)</f>
        <v>379496.6487200124</v>
      </c>
      <c r="F707" s="180">
        <f>(F624/F612)*AP64</f>
        <v>8139.803788662236</v>
      </c>
      <c r="G707" s="180">
        <f>(G625/G612)*AP77</f>
        <v>0</v>
      </c>
      <c r="H707" s="180">
        <f>(H628/H612)*AP60</f>
        <v>149797.83690932373</v>
      </c>
      <c r="I707" s="180">
        <f>(I629/I612)*AP78</f>
        <v>61861.102565017653</v>
      </c>
      <c r="J707" s="180">
        <f>(J630/J612)*AP79</f>
        <v>0</v>
      </c>
      <c r="K707" s="180">
        <f>(K644/K612)*AP75</f>
        <v>365103.74820226838</v>
      </c>
      <c r="L707" s="180">
        <f>(L647/L612)*AP80</f>
        <v>125494.21340392833</v>
      </c>
      <c r="M707" s="180">
        <f t="shared" si="20"/>
        <v>1465686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35660682.57</v>
      </c>
      <c r="D715" s="180">
        <f>SUM(D616:D647)+SUM(D668:D713)</f>
        <v>1382040.3099999998</v>
      </c>
      <c r="E715" s="180">
        <f>SUM(E624:E647)+SUM(E668:E713)</f>
        <v>1939941.5122819198</v>
      </c>
      <c r="F715" s="180">
        <f>SUM(F625:F648)+SUM(F668:F713)</f>
        <v>179805.97624418049</v>
      </c>
      <c r="G715" s="180">
        <f>SUM(G626:G647)+SUM(G668:G713)</f>
        <v>572891.34732023277</v>
      </c>
      <c r="H715" s="180">
        <f>SUM(H629:H647)+SUM(H668:H713)</f>
        <v>667998.34653734637</v>
      </c>
      <c r="I715" s="180">
        <f>SUM(I630:I647)+SUM(I668:I713)</f>
        <v>567585.11586478155</v>
      </c>
      <c r="J715" s="180">
        <f>SUM(J631:J647)+SUM(J668:J713)</f>
        <v>215117.51480315489</v>
      </c>
      <c r="K715" s="180">
        <f>SUM(K668:K713)</f>
        <v>3211659.7424546522</v>
      </c>
      <c r="L715" s="180">
        <f>SUM(L668:L713)</f>
        <v>502398.68290446594</v>
      </c>
      <c r="M715" s="180">
        <f>SUM(M668:M713)</f>
        <v>8430978</v>
      </c>
      <c r="N715" s="198" t="s">
        <v>742</v>
      </c>
    </row>
    <row r="716" spans="1:83" ht="12.65" customHeight="1" x14ac:dyDescent="0.35">
      <c r="C716" s="180">
        <f>CE71</f>
        <v>35660682.570000015</v>
      </c>
      <c r="D716" s="180">
        <f>D615</f>
        <v>1382040.31</v>
      </c>
      <c r="E716" s="180">
        <f>E623</f>
        <v>1939941.5122819208</v>
      </c>
      <c r="F716" s="180">
        <f>F624</f>
        <v>179805.97624418061</v>
      </c>
      <c r="G716" s="180">
        <f>G625</f>
        <v>572891.34732023277</v>
      </c>
      <c r="H716" s="180">
        <f>H628</f>
        <v>667998.34653734625</v>
      </c>
      <c r="I716" s="180">
        <f>I629</f>
        <v>567585.11586478155</v>
      </c>
      <c r="J716" s="180">
        <f>J630</f>
        <v>215117.51480315486</v>
      </c>
      <c r="K716" s="180">
        <f>K644</f>
        <v>3211659.7424546522</v>
      </c>
      <c r="L716" s="180">
        <f>L647</f>
        <v>502398.68290446588</v>
      </c>
      <c r="M716" s="180">
        <f>C648</f>
        <v>8430978.5800000001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147*2020*A</v>
      </c>
      <c r="B722" s="275">
        <f>ROUND(C165,0)</f>
        <v>1138277</v>
      </c>
      <c r="C722" s="275">
        <f>ROUND(C166,0)</f>
        <v>61644</v>
      </c>
      <c r="D722" s="275">
        <f>ROUND(C167,0)</f>
        <v>260936</v>
      </c>
      <c r="E722" s="275">
        <f>ROUND(C168,0)</f>
        <v>2138745</v>
      </c>
      <c r="F722" s="275">
        <f>ROUND(C169,0)</f>
        <v>39677</v>
      </c>
      <c r="G722" s="275">
        <f>ROUND(C170,0)</f>
        <v>265615</v>
      </c>
      <c r="H722" s="275">
        <f>ROUND(C171+C172,0)</f>
        <v>45027</v>
      </c>
      <c r="I722" s="275">
        <f>ROUND(C175,0)</f>
        <v>2600</v>
      </c>
      <c r="J722" s="275">
        <f>ROUND(C176,0)</f>
        <v>269874</v>
      </c>
      <c r="K722" s="275">
        <f>ROUND(C179,0)</f>
        <v>373523</v>
      </c>
      <c r="L722" s="275">
        <f>ROUND(C180,0)</f>
        <v>147974</v>
      </c>
      <c r="M722" s="275">
        <f>ROUND(C183,0)</f>
        <v>34620</v>
      </c>
      <c r="N722" s="275">
        <f>ROUND(C184,0)</f>
        <v>179368</v>
      </c>
      <c r="O722" s="275">
        <f>ROUND(C185,0)</f>
        <v>0</v>
      </c>
      <c r="P722" s="275">
        <f>ROUND(C188,0)</f>
        <v>285797</v>
      </c>
      <c r="Q722" s="275">
        <f>ROUND(C189,0)</f>
        <v>0</v>
      </c>
      <c r="R722" s="275">
        <f>ROUND(B195,0)</f>
        <v>146306</v>
      </c>
      <c r="S722" s="275">
        <f>ROUND(C195,0)</f>
        <v>0</v>
      </c>
      <c r="T722" s="275">
        <f>ROUND(D195,0)</f>
        <v>0</v>
      </c>
      <c r="U722" s="275">
        <f>ROUND(B196,0)</f>
        <v>1128016</v>
      </c>
      <c r="V722" s="275">
        <f>ROUND(C196,0)</f>
        <v>-25506</v>
      </c>
      <c r="W722" s="275">
        <f>ROUND(D196,0)</f>
        <v>0</v>
      </c>
      <c r="X722" s="275">
        <f>ROUND(B197,0)</f>
        <v>7901929</v>
      </c>
      <c r="Y722" s="275">
        <f>ROUND(C197,0)</f>
        <v>15660</v>
      </c>
      <c r="Z722" s="275">
        <f>ROUND(D197,0)</f>
        <v>0</v>
      </c>
      <c r="AA722" s="275">
        <f>ROUND(B198,0)</f>
        <v>5860084</v>
      </c>
      <c r="AB722" s="275">
        <f>ROUND(C198,0)</f>
        <v>25605</v>
      </c>
      <c r="AC722" s="275">
        <f>ROUND(D198,0)</f>
        <v>0</v>
      </c>
      <c r="AD722" s="275">
        <f>ROUND(B199,0)</f>
        <v>290017</v>
      </c>
      <c r="AE722" s="275">
        <f>ROUND(C199,0)</f>
        <v>8743</v>
      </c>
      <c r="AF722" s="275">
        <f>ROUND(D199,0)</f>
        <v>773</v>
      </c>
      <c r="AG722" s="275">
        <f>ROUND(B200,0)</f>
        <v>10880522</v>
      </c>
      <c r="AH722" s="275">
        <f>ROUND(C200,0)</f>
        <v>461410</v>
      </c>
      <c r="AI722" s="275">
        <f>ROUND(D200,0)</f>
        <v>1004209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54218</v>
      </c>
      <c r="AQ722" s="275">
        <f>ROUND(C203,0)</f>
        <v>51093</v>
      </c>
      <c r="AR722" s="275">
        <f>ROUND(D203,0)</f>
        <v>54218</v>
      </c>
      <c r="AS722" s="275"/>
      <c r="AT722" s="275"/>
      <c r="AU722" s="275"/>
      <c r="AV722" s="275">
        <f>ROUND(B209,0)</f>
        <v>831003</v>
      </c>
      <c r="AW722" s="275">
        <f>ROUND(C209,0)</f>
        <v>22760</v>
      </c>
      <c r="AX722" s="275">
        <f>ROUND(D209,0)</f>
        <v>0</v>
      </c>
      <c r="AY722" s="275">
        <f>ROUND(B210,0)</f>
        <v>4582787</v>
      </c>
      <c r="AZ722" s="275">
        <f>ROUND(C210,0)</f>
        <v>279099</v>
      </c>
      <c r="BA722" s="275">
        <f>ROUND(D210,0)</f>
        <v>0</v>
      </c>
      <c r="BB722" s="275">
        <f>ROUND(B211,0)</f>
        <v>2888371</v>
      </c>
      <c r="BC722" s="275">
        <f>ROUND(C211,0)</f>
        <v>289539</v>
      </c>
      <c r="BD722" s="275">
        <f>ROUND(D211,0)</f>
        <v>0</v>
      </c>
      <c r="BE722" s="275">
        <f>ROUND(B212,0)</f>
        <v>165881</v>
      </c>
      <c r="BF722" s="275">
        <f>ROUND(C212,0)</f>
        <v>11923</v>
      </c>
      <c r="BG722" s="275">
        <f>ROUND(D212,0)</f>
        <v>773</v>
      </c>
      <c r="BH722" s="275">
        <f>ROUND(B213,0)</f>
        <v>6664790</v>
      </c>
      <c r="BI722" s="275">
        <f>ROUND(C213,0)</f>
        <v>1401879</v>
      </c>
      <c r="BJ722" s="275">
        <f>ROUND(D213,0)</f>
        <v>995385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15627036</v>
      </c>
      <c r="BU722" s="275">
        <f>ROUND(C224,0)</f>
        <v>11981260</v>
      </c>
      <c r="BV722" s="275">
        <f>ROUND(C225,0)</f>
        <v>1163374</v>
      </c>
      <c r="BW722" s="275">
        <f>ROUND(C226,0)</f>
        <v>357702</v>
      </c>
      <c r="BX722" s="275">
        <f>ROUND(C227,0)</f>
        <v>3857370</v>
      </c>
      <c r="BY722" s="275">
        <f>ROUND(C228,0)</f>
        <v>0</v>
      </c>
      <c r="BZ722" s="275">
        <f>ROUND(C231,0)</f>
        <v>2155</v>
      </c>
      <c r="CA722" s="275">
        <f>ROUND(C233,0)</f>
        <v>240539</v>
      </c>
      <c r="CB722" s="275">
        <f>ROUND(C234,0)</f>
        <v>1034144</v>
      </c>
      <c r="CC722" s="275">
        <f>ROUND(C238+C239,0)</f>
        <v>4317424</v>
      </c>
      <c r="CD722" s="275">
        <f>D221</f>
        <v>1231512.6000000001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147*2020*A</v>
      </c>
      <c r="B726" s="275">
        <f>ROUND(C111,0)</f>
        <v>712</v>
      </c>
      <c r="C726" s="275">
        <f>ROUND(C112,0)</f>
        <v>1</v>
      </c>
      <c r="D726" s="275">
        <f>ROUND(C113,0)</f>
        <v>0</v>
      </c>
      <c r="E726" s="275">
        <f>ROUND(C114,0)</f>
        <v>266</v>
      </c>
      <c r="F726" s="275">
        <f>ROUND(D111,0)</f>
        <v>1726</v>
      </c>
      <c r="G726" s="275">
        <f>ROUND(D112,0)</f>
        <v>8</v>
      </c>
      <c r="H726" s="275">
        <f>ROUND(D113,0)</f>
        <v>0</v>
      </c>
      <c r="I726" s="275">
        <f>ROUND(D114,0)</f>
        <v>377</v>
      </c>
      <c r="J726" s="275">
        <f>ROUND(C116,0)</f>
        <v>0</v>
      </c>
      <c r="K726" s="275">
        <f>ROUND(C117,0)</f>
        <v>0</v>
      </c>
      <c r="L726" s="275">
        <f>ROUND(C118,0)</f>
        <v>25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44</v>
      </c>
      <c r="W726" s="275">
        <f>ROUND(C129,0)</f>
        <v>6</v>
      </c>
      <c r="X726" s="275">
        <f>ROUND(B138,0)</f>
        <v>243</v>
      </c>
      <c r="Y726" s="275">
        <f>ROUND(B139,0)</f>
        <v>727</v>
      </c>
      <c r="Z726" s="275">
        <f>ROUND(B140,0)</f>
        <v>12640</v>
      </c>
      <c r="AA726" s="275">
        <f>ROUND(B141,0)</f>
        <v>4587432</v>
      </c>
      <c r="AB726" s="275">
        <f>ROUND(B142,0)</f>
        <v>23594426</v>
      </c>
      <c r="AC726" s="275">
        <f>ROUND(C138,0)</f>
        <v>285</v>
      </c>
      <c r="AD726" s="275">
        <f>ROUND(C139,0)</f>
        <v>591</v>
      </c>
      <c r="AE726" s="275">
        <f>ROUND(C140,0)</f>
        <v>10932</v>
      </c>
      <c r="AF726" s="275">
        <f>ROUND(C141,0)</f>
        <v>4647015</v>
      </c>
      <c r="AG726" s="275">
        <f>ROUND(C142,0)</f>
        <v>18253696</v>
      </c>
      <c r="AH726" s="275">
        <f>ROUND(D138,0)</f>
        <v>184</v>
      </c>
      <c r="AI726" s="275">
        <f>ROUND(D139,0)</f>
        <v>408</v>
      </c>
      <c r="AJ726" s="275">
        <f>ROUND(D140,0)</f>
        <v>12767</v>
      </c>
      <c r="AK726" s="275">
        <f>ROUND(D141,0)</f>
        <v>3112917</v>
      </c>
      <c r="AL726" s="275">
        <f>ROUND(D142,0)</f>
        <v>19960559</v>
      </c>
      <c r="AM726" s="275">
        <f>ROUND(B144,0)</f>
        <v>1</v>
      </c>
      <c r="AN726" s="275">
        <f>ROUND(B145,0)</f>
        <v>8</v>
      </c>
      <c r="AO726" s="275">
        <f>ROUND(B146,0)</f>
        <v>0</v>
      </c>
      <c r="AP726" s="275">
        <f>ROUND(B147,0)</f>
        <v>13092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11278983</v>
      </c>
      <c r="BR726" s="275">
        <f>ROUND(C157,0)</f>
        <v>3750579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147*2020*A</v>
      </c>
      <c r="B730" s="275">
        <f>ROUND(C250,0)</f>
        <v>16071008</v>
      </c>
      <c r="C730" s="275">
        <f>ROUND(C251,0)</f>
        <v>0</v>
      </c>
      <c r="D730" s="275">
        <f>ROUND(C252,0)</f>
        <v>14860947</v>
      </c>
      <c r="E730" s="275">
        <f>ROUND(C253,0)</f>
        <v>9406950</v>
      </c>
      <c r="F730" s="275">
        <f>ROUND(C254,0)</f>
        <v>593590</v>
      </c>
      <c r="G730" s="275">
        <f>ROUND(C255,0)</f>
        <v>170241</v>
      </c>
      <c r="H730" s="275">
        <f>ROUND(C256,0)</f>
        <v>0</v>
      </c>
      <c r="I730" s="275">
        <f>ROUND(C257,0)</f>
        <v>829928</v>
      </c>
      <c r="J730" s="275">
        <f>ROUND(C258,0)</f>
        <v>192694</v>
      </c>
      <c r="K730" s="275">
        <f>ROUND(C259,0)</f>
        <v>0</v>
      </c>
      <c r="L730" s="275">
        <f>ROUND(C262,0)</f>
        <v>716353</v>
      </c>
      <c r="M730" s="275">
        <f>ROUND(C263,0)</f>
        <v>0</v>
      </c>
      <c r="N730" s="275">
        <f>ROUND(C264,0)</f>
        <v>0</v>
      </c>
      <c r="O730" s="275">
        <f>ROUND(C267,0)</f>
        <v>146306</v>
      </c>
      <c r="P730" s="275">
        <f>ROUND(C268,0)</f>
        <v>1102510</v>
      </c>
      <c r="Q730" s="275">
        <f>ROUND(C269,0)</f>
        <v>7917589</v>
      </c>
      <c r="R730" s="275">
        <f>ROUND(C270,0)</f>
        <v>5885689</v>
      </c>
      <c r="S730" s="275">
        <f>ROUND(C271,0)</f>
        <v>297987</v>
      </c>
      <c r="T730" s="275">
        <f>ROUND(C272,0)</f>
        <v>10337722</v>
      </c>
      <c r="U730" s="275">
        <f>ROUND(C273,0)</f>
        <v>0</v>
      </c>
      <c r="V730" s="275">
        <f>ROUND(C274,0)</f>
        <v>51093</v>
      </c>
      <c r="W730" s="275">
        <f>ROUND(C275,0)</f>
        <v>0</v>
      </c>
      <c r="X730" s="275">
        <f>ROUND(C276,0)</f>
        <v>16141876</v>
      </c>
      <c r="Y730" s="275">
        <f>ROUND(C279,0)</f>
        <v>1583839</v>
      </c>
      <c r="Z730" s="275">
        <f>ROUND(C280,0)</f>
        <v>1332593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736481</v>
      </c>
      <c r="AI730" s="275">
        <f>ROUND(C306,0)</f>
        <v>1507054</v>
      </c>
      <c r="AJ730" s="275">
        <f>ROUND(C307,0)</f>
        <v>0</v>
      </c>
      <c r="AK730" s="275">
        <f>ROUND(C308,0)</f>
        <v>0</v>
      </c>
      <c r="AL730" s="275">
        <f>ROUND(C309,0)</f>
        <v>9798756</v>
      </c>
      <c r="AM730" s="275">
        <f>ROUND(C310,0)</f>
        <v>0</v>
      </c>
      <c r="AN730" s="275">
        <f>ROUND(C311,0)</f>
        <v>0</v>
      </c>
      <c r="AO730" s="275">
        <f>ROUND(C312,0)</f>
        <v>23522</v>
      </c>
      <c r="AP730" s="275">
        <f>ROUND(C313,0)</f>
        <v>4929518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7987092</v>
      </c>
      <c r="AW730" s="275">
        <f>ROUND(C324,0)</f>
        <v>2690465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11132705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217.35</v>
      </c>
      <c r="BJ730" s="275">
        <f>ROUND(C359,0)</f>
        <v>12360456</v>
      </c>
      <c r="BK730" s="275">
        <f>ROUND(C360,0)</f>
        <v>61808680</v>
      </c>
      <c r="BL730" s="275">
        <f>ROUND(C364,0)</f>
        <v>36121847</v>
      </c>
      <c r="BM730" s="275">
        <f>ROUND(C365,0)</f>
        <v>1274683</v>
      </c>
      <c r="BN730" s="275">
        <f>ROUND(C366,0)</f>
        <v>1205858</v>
      </c>
      <c r="BO730" s="275">
        <f>ROUND(C370,0)</f>
        <v>964782</v>
      </c>
      <c r="BP730" s="275">
        <f>ROUND(C371,0)</f>
        <v>1069967</v>
      </c>
      <c r="BQ730" s="275">
        <f>ROUND(C378,0)</f>
        <v>16675860</v>
      </c>
      <c r="BR730" s="275">
        <f>ROUND(C379,0)</f>
        <v>3949921</v>
      </c>
      <c r="BS730" s="275">
        <f>ROUND(C380,0)</f>
        <v>4841610</v>
      </c>
      <c r="BT730" s="275">
        <f>ROUND(C381,0)</f>
        <v>4925910</v>
      </c>
      <c r="BU730" s="275">
        <f>ROUND(C382,0)</f>
        <v>454092</v>
      </c>
      <c r="BV730" s="275">
        <f>ROUND(C383,0)</f>
        <v>2475830</v>
      </c>
      <c r="BW730" s="275">
        <f>ROUND(C384,0)</f>
        <v>2015875</v>
      </c>
      <c r="BX730" s="275">
        <f>ROUND(C385,0)</f>
        <v>272474</v>
      </c>
      <c r="BY730" s="275">
        <f>ROUND(C386,0)</f>
        <v>521497</v>
      </c>
      <c r="BZ730" s="275">
        <f>ROUND(C387,0)</f>
        <v>213988</v>
      </c>
      <c r="CA730" s="275">
        <f>ROUND(C388,0)</f>
        <v>285797</v>
      </c>
      <c r="CB730" s="275">
        <f>C363</f>
        <v>1207974.28</v>
      </c>
      <c r="CC730" s="275">
        <f>ROUND(C389,0)</f>
        <v>262346</v>
      </c>
      <c r="CD730" s="275">
        <f>ROUND(C392,0)</f>
        <v>934310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147*2020*6010*A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147*2020*6030*A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147*2020*6070*A</v>
      </c>
      <c r="B736" s="275">
        <f>ROUND(E59,0)</f>
        <v>1734</v>
      </c>
      <c r="C736" s="277">
        <f>ROUND(E60,2)</f>
        <v>25.62</v>
      </c>
      <c r="D736" s="275">
        <f>ROUND(E61,0)</f>
        <v>2040675</v>
      </c>
      <c r="E736" s="275">
        <f>ROUND(E62,0)</f>
        <v>484931</v>
      </c>
      <c r="F736" s="275">
        <f>ROUND(E63,0)</f>
        <v>101349</v>
      </c>
      <c r="G736" s="275">
        <f>ROUND(E64,0)</f>
        <v>124125</v>
      </c>
      <c r="H736" s="275">
        <f>ROUND(E65,0)</f>
        <v>0</v>
      </c>
      <c r="I736" s="275">
        <f>ROUND(E66,0)</f>
        <v>113907</v>
      </c>
      <c r="J736" s="275">
        <f>ROUND(E67,0)</f>
        <v>109301</v>
      </c>
      <c r="K736" s="275">
        <f>ROUND(E68,0)</f>
        <v>29832</v>
      </c>
      <c r="L736" s="275">
        <f>ROUND(E69,0)</f>
        <v>3052</v>
      </c>
      <c r="M736" s="275">
        <f>ROUND(E70,0)</f>
        <v>0</v>
      </c>
      <c r="N736" s="275">
        <f>ROUND(E75,0)</f>
        <v>3131181</v>
      </c>
      <c r="O736" s="275">
        <f>ROUND(E73,0)</f>
        <v>2195154</v>
      </c>
      <c r="P736" s="275">
        <f>IF(E76&gt;0,ROUND(E76,0),0)</f>
        <v>6401</v>
      </c>
      <c r="Q736" s="275">
        <f>IF(E77&gt;0,ROUND(E77,0),0)</f>
        <v>6198</v>
      </c>
      <c r="R736" s="275">
        <f>IF(E78&gt;0,ROUND(E78,0),0)</f>
        <v>4930</v>
      </c>
      <c r="S736" s="275">
        <f>IF(E79&gt;0,ROUND(E79,0),0)</f>
        <v>89695</v>
      </c>
      <c r="T736" s="277">
        <f>IF(E80&gt;0,ROUND(E80,2),0)</f>
        <v>14.43</v>
      </c>
      <c r="U736" s="275"/>
      <c r="V736" s="276"/>
      <c r="W736" s="275"/>
      <c r="X736" s="275"/>
      <c r="Y736" s="275">
        <f t="shared" si="21"/>
        <v>1406288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147*2020*6100*A</v>
      </c>
      <c r="B737" s="275">
        <f>ROUND(F59,0)</f>
        <v>0</v>
      </c>
      <c r="C737" s="277">
        <f>ROUND(F60,2)</f>
        <v>2.17</v>
      </c>
      <c r="D737" s="275">
        <f>ROUND(F61,0)</f>
        <v>226937</v>
      </c>
      <c r="E737" s="275">
        <f>ROUND(F62,0)</f>
        <v>29407</v>
      </c>
      <c r="F737" s="275">
        <f>ROUND(F63,0)</f>
        <v>75600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3600</v>
      </c>
      <c r="M737" s="275">
        <f>ROUND(F70,0)</f>
        <v>0</v>
      </c>
      <c r="N737" s="275">
        <f>ROUND(F75,0)</f>
        <v>784994</v>
      </c>
      <c r="O737" s="275">
        <f>ROUND(F73,0)</f>
        <v>394522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60937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147*2020*6120*A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147*2020*6140*A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147*2020*6150*A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147*2020*6170*A</v>
      </c>
      <c r="B741" s="275">
        <f>ROUND(J59,0)</f>
        <v>377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2204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422062</v>
      </c>
      <c r="O741" s="275">
        <f>ROUND(J73,0)</f>
        <v>420774</v>
      </c>
      <c r="P741" s="275">
        <f>IF(J76&gt;0,ROUND(J76,0),0)</f>
        <v>142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21991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147*2020*6200*A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147*2020*6210*A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147*2020*6330*A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147*2020*6400*A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147*2020*7010*A</v>
      </c>
      <c r="B746" s="275">
        <f>ROUND(O59,0)</f>
        <v>266</v>
      </c>
      <c r="C746" s="277">
        <f>ROUND(O60,2)</f>
        <v>6.99</v>
      </c>
      <c r="D746" s="275">
        <f>ROUND(O61,0)</f>
        <v>655452</v>
      </c>
      <c r="E746" s="275">
        <f>ROUND(O62,0)</f>
        <v>151567</v>
      </c>
      <c r="F746" s="275">
        <f>ROUND(O63,0)</f>
        <v>246174</v>
      </c>
      <c r="G746" s="275">
        <f>ROUND(O64,0)</f>
        <v>78546</v>
      </c>
      <c r="H746" s="275">
        <f>ROUND(O65,0)</f>
        <v>0</v>
      </c>
      <c r="I746" s="275">
        <f>ROUND(O66,0)</f>
        <v>29091</v>
      </c>
      <c r="J746" s="275">
        <f>ROUND(O67,0)</f>
        <v>33232</v>
      </c>
      <c r="K746" s="275">
        <f>ROUND(O68,0)</f>
        <v>6947</v>
      </c>
      <c r="L746" s="275">
        <f>ROUND(O69,0)</f>
        <v>3756</v>
      </c>
      <c r="M746" s="275">
        <f>ROUND(O70,0)</f>
        <v>0</v>
      </c>
      <c r="N746" s="275">
        <f>ROUND(O75,0)</f>
        <v>1630203</v>
      </c>
      <c r="O746" s="275">
        <f>ROUND(O73,0)</f>
        <v>1460870</v>
      </c>
      <c r="P746" s="275">
        <f>IF(O76&gt;0,ROUND(O76,0),0)</f>
        <v>1764</v>
      </c>
      <c r="Q746" s="275">
        <f>IF(O77&gt;0,ROUND(O77,0),0)</f>
        <v>2066</v>
      </c>
      <c r="R746" s="275">
        <f>IF(O78&gt;0,ROUND(O78,0),0)</f>
        <v>1275</v>
      </c>
      <c r="S746" s="275">
        <f>IF(O79&gt;0,ROUND(O79,0),0)</f>
        <v>9202</v>
      </c>
      <c r="T746" s="277">
        <f>IF(O80&gt;0,ROUND(O80,2),0)</f>
        <v>6.18</v>
      </c>
      <c r="U746" s="275"/>
      <c r="V746" s="276"/>
      <c r="W746" s="275"/>
      <c r="X746" s="275"/>
      <c r="Y746" s="275">
        <f t="shared" si="21"/>
        <v>469998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147*2020*7020*A</v>
      </c>
      <c r="B747" s="275">
        <f>ROUND(P59,0)</f>
        <v>105339</v>
      </c>
      <c r="C747" s="277">
        <f>ROUND(P60,2)</f>
        <v>10.93</v>
      </c>
      <c r="D747" s="275">
        <f>ROUND(P61,0)</f>
        <v>791922</v>
      </c>
      <c r="E747" s="275">
        <f>ROUND(P62,0)</f>
        <v>197341</v>
      </c>
      <c r="F747" s="275">
        <f>ROUND(P63,0)</f>
        <v>0</v>
      </c>
      <c r="G747" s="275">
        <f>ROUND(P64,0)</f>
        <v>933871</v>
      </c>
      <c r="H747" s="275">
        <f>ROUND(P65,0)</f>
        <v>0</v>
      </c>
      <c r="I747" s="275">
        <f>ROUND(P66,0)</f>
        <v>117239</v>
      </c>
      <c r="J747" s="275">
        <f>ROUND(P67,0)</f>
        <v>326117</v>
      </c>
      <c r="K747" s="275">
        <f>ROUND(P68,0)</f>
        <v>5187</v>
      </c>
      <c r="L747" s="275">
        <f>ROUND(P69,0)</f>
        <v>15708</v>
      </c>
      <c r="M747" s="275">
        <f>ROUND(P70,0)</f>
        <v>0</v>
      </c>
      <c r="N747" s="275">
        <f>ROUND(P75,0)</f>
        <v>6252847</v>
      </c>
      <c r="O747" s="275">
        <f>ROUND(P73,0)</f>
        <v>1384104</v>
      </c>
      <c r="P747" s="275">
        <f>IF(P76&gt;0,ROUND(P76,0),0)</f>
        <v>4135</v>
      </c>
      <c r="Q747" s="275">
        <f>IF(P77&gt;0,ROUND(P77,0),0)</f>
        <v>0</v>
      </c>
      <c r="R747" s="275">
        <f>IF(P78&gt;0,ROUND(P78,0),0)</f>
        <v>1371</v>
      </c>
      <c r="S747" s="275">
        <f>IF(P79&gt;0,ROUND(P79,0),0)</f>
        <v>49913</v>
      </c>
      <c r="T747" s="277">
        <f>IF(P80&gt;0,ROUND(P80,2),0)</f>
        <v>3.15</v>
      </c>
      <c r="U747" s="275"/>
      <c r="V747" s="276"/>
      <c r="W747" s="275"/>
      <c r="X747" s="275"/>
      <c r="Y747" s="275">
        <f t="shared" si="21"/>
        <v>722131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147*2020*7030*A</v>
      </c>
      <c r="B748" s="275">
        <f>ROUND(Q59,0)</f>
        <v>118412</v>
      </c>
      <c r="C748" s="277">
        <f>ROUND(Q60,2)</f>
        <v>5.93</v>
      </c>
      <c r="D748" s="275">
        <f>ROUND(Q61,0)</f>
        <v>529515</v>
      </c>
      <c r="E748" s="275">
        <f>ROUND(Q62,0)</f>
        <v>121538</v>
      </c>
      <c r="F748" s="275">
        <f>ROUND(Q63,0)</f>
        <v>0</v>
      </c>
      <c r="G748" s="275">
        <f>ROUND(Q64,0)</f>
        <v>25801</v>
      </c>
      <c r="H748" s="275">
        <f>ROUND(Q65,0)</f>
        <v>0</v>
      </c>
      <c r="I748" s="275">
        <f>ROUND(Q66,0)</f>
        <v>2315</v>
      </c>
      <c r="J748" s="275">
        <f>ROUND(Q67,0)</f>
        <v>27188</v>
      </c>
      <c r="K748" s="275">
        <f>ROUND(Q68,0)</f>
        <v>5110</v>
      </c>
      <c r="L748" s="275">
        <f>ROUND(Q69,0)</f>
        <v>39</v>
      </c>
      <c r="M748" s="275">
        <f>ROUND(Q70,0)</f>
        <v>0</v>
      </c>
      <c r="N748" s="275">
        <f>ROUND(Q75,0)</f>
        <v>1948143</v>
      </c>
      <c r="O748" s="275">
        <f>ROUND(Q73,0)</f>
        <v>256558</v>
      </c>
      <c r="P748" s="275">
        <f>IF(Q76&gt;0,ROUND(Q76,0),0)</f>
        <v>1211</v>
      </c>
      <c r="Q748" s="275">
        <f>IF(Q77&gt;0,ROUND(Q77,0),0)</f>
        <v>0</v>
      </c>
      <c r="R748" s="275">
        <f>IF(Q78&gt;0,ROUND(Q78,0),0)</f>
        <v>1149</v>
      </c>
      <c r="S748" s="275">
        <f>IF(Q79&gt;0,ROUND(Q79,0),0)</f>
        <v>0</v>
      </c>
      <c r="T748" s="277">
        <f>IF(Q80&gt;0,ROUND(Q80,2),0)</f>
        <v>4.26</v>
      </c>
      <c r="U748" s="275"/>
      <c r="V748" s="276"/>
      <c r="W748" s="275"/>
      <c r="X748" s="275"/>
      <c r="Y748" s="275">
        <f t="shared" si="21"/>
        <v>257030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147*2020*7040*A</v>
      </c>
      <c r="B749" s="275">
        <f>ROUND(R59,0)</f>
        <v>117096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865101</v>
      </c>
      <c r="G749" s="275">
        <f>ROUND(R64,0)</f>
        <v>8851</v>
      </c>
      <c r="H749" s="275">
        <f>ROUND(R65,0)</f>
        <v>0</v>
      </c>
      <c r="I749" s="275">
        <f>ROUND(R66,0)</f>
        <v>16173</v>
      </c>
      <c r="J749" s="275">
        <f>ROUND(R67,0)</f>
        <v>0</v>
      </c>
      <c r="K749" s="275">
        <f>ROUND(R68,0)</f>
        <v>12287</v>
      </c>
      <c r="L749" s="275">
        <f>ROUND(R69,0)</f>
        <v>0</v>
      </c>
      <c r="M749" s="275">
        <f>ROUND(R70,0)</f>
        <v>0</v>
      </c>
      <c r="N749" s="275">
        <f>ROUND(R75,0)</f>
        <v>2387206</v>
      </c>
      <c r="O749" s="275">
        <f>ROUND(R73,0)</f>
        <v>541086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155614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147*2020*7050*A</v>
      </c>
      <c r="B750" s="275"/>
      <c r="C750" s="277">
        <f>ROUND(S60,2)</f>
        <v>2.04</v>
      </c>
      <c r="D750" s="275">
        <f>ROUND(S61,0)</f>
        <v>53683</v>
      </c>
      <c r="E750" s="275">
        <f>ROUND(S62,0)</f>
        <v>28813</v>
      </c>
      <c r="F750" s="275">
        <f>ROUND(S63,0)</f>
        <v>0</v>
      </c>
      <c r="G750" s="275">
        <f>ROUND(S64,0)</f>
        <v>1208106</v>
      </c>
      <c r="H750" s="275">
        <f>ROUND(S65,0)</f>
        <v>0</v>
      </c>
      <c r="I750" s="275">
        <f>ROUND(S66,0)</f>
        <v>2876</v>
      </c>
      <c r="J750" s="275">
        <f>ROUND(S67,0)</f>
        <v>18397</v>
      </c>
      <c r="K750" s="275">
        <f>ROUND(S68,0)</f>
        <v>0</v>
      </c>
      <c r="L750" s="275">
        <f>ROUND(S69,0)</f>
        <v>9742</v>
      </c>
      <c r="M750" s="275">
        <f>ROUND(S70,0)</f>
        <v>8034</v>
      </c>
      <c r="N750" s="275">
        <f>ROUND(S75,0)</f>
        <v>5796706</v>
      </c>
      <c r="O750" s="275">
        <f>ROUND(S73,0)</f>
        <v>1466647</v>
      </c>
      <c r="P750" s="275">
        <f>IF(S76&gt;0,ROUND(S76,0),0)</f>
        <v>1628</v>
      </c>
      <c r="Q750" s="275">
        <f>IF(S77&gt;0,ROUND(S77,0),0)</f>
        <v>0</v>
      </c>
      <c r="R750" s="275">
        <f>IF(S78&gt;0,ROUND(S78,0),0)</f>
        <v>349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430108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147*2020*7060*A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147*2020*7070*A</v>
      </c>
      <c r="B752" s="275">
        <f>ROUND(U59,0)</f>
        <v>78116</v>
      </c>
      <c r="C752" s="277">
        <f>ROUND(U60,2)</f>
        <v>8.82</v>
      </c>
      <c r="D752" s="275">
        <f>ROUND(U61,0)</f>
        <v>567129</v>
      </c>
      <c r="E752" s="275">
        <f>ROUND(U62,0)</f>
        <v>149379</v>
      </c>
      <c r="F752" s="275">
        <f>ROUND(U63,0)</f>
        <v>87273</v>
      </c>
      <c r="G752" s="275">
        <f>ROUND(U64,0)</f>
        <v>767532</v>
      </c>
      <c r="H752" s="275">
        <f>ROUND(U65,0)</f>
        <v>0</v>
      </c>
      <c r="I752" s="275">
        <f>ROUND(U66,0)</f>
        <v>151952</v>
      </c>
      <c r="J752" s="275">
        <f>ROUND(U67,0)</f>
        <v>43215</v>
      </c>
      <c r="K752" s="275">
        <f>ROUND(U68,0)</f>
        <v>38060</v>
      </c>
      <c r="L752" s="275">
        <f>ROUND(U69,0)</f>
        <v>29145</v>
      </c>
      <c r="M752" s="275">
        <f>ROUND(U70,0)</f>
        <v>6650</v>
      </c>
      <c r="N752" s="275">
        <f>ROUND(U75,0)</f>
        <v>6680952</v>
      </c>
      <c r="O752" s="275">
        <f>ROUND(U73,0)</f>
        <v>1053358</v>
      </c>
      <c r="P752" s="275">
        <f>IF(U76&gt;0,ROUND(U76,0),0)</f>
        <v>1213</v>
      </c>
      <c r="Q752" s="275">
        <f>IF(U77&gt;0,ROUND(U77,0),0)</f>
        <v>0</v>
      </c>
      <c r="R752" s="275">
        <f>IF(U78&gt;0,ROUND(U78,0),0)</f>
        <v>584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502040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147*2020*7110*A</v>
      </c>
      <c r="B753" s="275">
        <f>ROUND(V59,0)</f>
        <v>2196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147*2020*7120*A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147*2020*7130*A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147*2020*7140*A</v>
      </c>
      <c r="B756" s="275">
        <f>ROUND(Y59,0)</f>
        <v>15720</v>
      </c>
      <c r="C756" s="277">
        <f>ROUND(Y60,2)</f>
        <v>10.35</v>
      </c>
      <c r="D756" s="275">
        <f>ROUND(Y61,0)</f>
        <v>796205</v>
      </c>
      <c r="E756" s="275">
        <f>ROUND(Y62,0)</f>
        <v>190778</v>
      </c>
      <c r="F756" s="275">
        <f>ROUND(Y63,0)</f>
        <v>908931</v>
      </c>
      <c r="G756" s="275">
        <f>ROUND(Y64,0)</f>
        <v>372856</v>
      </c>
      <c r="H756" s="275">
        <f>ROUND(Y65,0)</f>
        <v>0</v>
      </c>
      <c r="I756" s="275">
        <f>ROUND(Y66,0)</f>
        <v>484327</v>
      </c>
      <c r="J756" s="275">
        <f>ROUND(Y67,0)</f>
        <v>511107</v>
      </c>
      <c r="K756" s="275">
        <f>ROUND(Y68,0)</f>
        <v>75122</v>
      </c>
      <c r="L756" s="275">
        <f>ROUND(Y69,0)</f>
        <v>5596</v>
      </c>
      <c r="M756" s="275">
        <f>ROUND(Y70,0)</f>
        <v>0</v>
      </c>
      <c r="N756" s="275">
        <f>ROUND(Y75,0)</f>
        <v>18083939</v>
      </c>
      <c r="O756" s="275">
        <f>ROUND(Y73,0)</f>
        <v>630060</v>
      </c>
      <c r="P756" s="275">
        <f>IF(Y76&gt;0,ROUND(Y76,0),0)</f>
        <v>5347</v>
      </c>
      <c r="Q756" s="275">
        <f>IF(Y77&gt;0,ROUND(Y77,0),0)</f>
        <v>0</v>
      </c>
      <c r="R756" s="275">
        <f>IF(Y78&gt;0,ROUND(Y78,0),0)</f>
        <v>692</v>
      </c>
      <c r="S756" s="275">
        <f>IF(Y79&gt;0,ROUND(Y79,0),0)</f>
        <v>599</v>
      </c>
      <c r="T756" s="277">
        <f>IF(Y80&gt;0,ROUND(Y80,2),0)</f>
        <v>0.24</v>
      </c>
      <c r="U756" s="275"/>
      <c r="V756" s="276"/>
      <c r="W756" s="275"/>
      <c r="X756" s="275"/>
      <c r="Y756" s="275">
        <f t="shared" si="21"/>
        <v>1184834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147*2020*7150*A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147*2020*7160*A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147*2020*7170*A</v>
      </c>
      <c r="B759" s="275"/>
      <c r="C759" s="277">
        <f>ROUND(AB60,2)</f>
        <v>2.1</v>
      </c>
      <c r="D759" s="275">
        <f>ROUND(AB61,0)</f>
        <v>194446</v>
      </c>
      <c r="E759" s="275">
        <f>ROUND(AB62,0)</f>
        <v>43753</v>
      </c>
      <c r="F759" s="275">
        <f>ROUND(AB63,0)</f>
        <v>87009</v>
      </c>
      <c r="G759" s="275">
        <f>ROUND(AB64,0)</f>
        <v>595436</v>
      </c>
      <c r="H759" s="275">
        <f>ROUND(AB65,0)</f>
        <v>0</v>
      </c>
      <c r="I759" s="275">
        <f>ROUND(AB66,0)</f>
        <v>11782</v>
      </c>
      <c r="J759" s="275">
        <f>ROUND(AB67,0)</f>
        <v>6397</v>
      </c>
      <c r="K759" s="275">
        <f>ROUND(AB68,0)</f>
        <v>4265</v>
      </c>
      <c r="L759" s="275">
        <f>ROUND(AB69,0)</f>
        <v>2056</v>
      </c>
      <c r="M759" s="275">
        <f>ROUND(AB70,0)</f>
        <v>461004</v>
      </c>
      <c r="N759" s="275">
        <f>ROUND(AB75,0)</f>
        <v>3334134</v>
      </c>
      <c r="O759" s="275">
        <f>ROUND(AB73,0)</f>
        <v>995543</v>
      </c>
      <c r="P759" s="275">
        <f>IF(AB76&gt;0,ROUND(AB76,0),0)</f>
        <v>588</v>
      </c>
      <c r="Q759" s="275">
        <f>IF(AB77&gt;0,ROUND(AB77,0),0)</f>
        <v>0</v>
      </c>
      <c r="R759" s="275">
        <f>IF(AB78&gt;0,ROUND(AB78,0),0)</f>
        <v>172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221692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147*2020*7180*A</v>
      </c>
      <c r="B760" s="275">
        <f>ROUND(AC59,0)</f>
        <v>2938</v>
      </c>
      <c r="C760" s="277">
        <f>ROUND(AC60,2)</f>
        <v>2.85</v>
      </c>
      <c r="D760" s="275">
        <f>ROUND(AC61,0)</f>
        <v>234854</v>
      </c>
      <c r="E760" s="275">
        <f>ROUND(AC62,0)</f>
        <v>60158</v>
      </c>
      <c r="F760" s="275">
        <f>ROUND(AC63,0)</f>
        <v>0</v>
      </c>
      <c r="G760" s="275">
        <f>ROUND(AC64,0)</f>
        <v>36498</v>
      </c>
      <c r="H760" s="275">
        <f>ROUND(AC65,0)</f>
        <v>0</v>
      </c>
      <c r="I760" s="275">
        <f>ROUND(AC66,0)</f>
        <v>7432</v>
      </c>
      <c r="J760" s="275">
        <f>ROUND(AC67,0)</f>
        <v>5461</v>
      </c>
      <c r="K760" s="275">
        <f>ROUND(AC68,0)</f>
        <v>21432</v>
      </c>
      <c r="L760" s="275">
        <f>ROUND(AC69,0)</f>
        <v>2112</v>
      </c>
      <c r="M760" s="275">
        <f>ROUND(AC70,0)</f>
        <v>0</v>
      </c>
      <c r="N760" s="275">
        <f>ROUND(AC75,0)</f>
        <v>986403</v>
      </c>
      <c r="O760" s="275">
        <f>ROUND(AC73,0)</f>
        <v>294018</v>
      </c>
      <c r="P760" s="275">
        <f>IF(AC76&gt;0,ROUND(AC76,0),0)</f>
        <v>394</v>
      </c>
      <c r="Q760" s="275">
        <f>IF(AC77&gt;0,ROUND(AC77,0),0)</f>
        <v>0</v>
      </c>
      <c r="R760" s="275">
        <f>IF(AC78&gt;0,ROUND(AC78,0),0)</f>
        <v>298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94129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147*2020*7190*A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147*2020*7200*A</v>
      </c>
      <c r="B762" s="275">
        <f>ROUND(AE59,0)</f>
        <v>10175</v>
      </c>
      <c r="C762" s="277">
        <f>ROUND(AE60,2)</f>
        <v>7.17</v>
      </c>
      <c r="D762" s="275">
        <f>ROUND(AE61,0)</f>
        <v>458318</v>
      </c>
      <c r="E762" s="275">
        <f>ROUND(AE62,0)</f>
        <v>133440</v>
      </c>
      <c r="F762" s="275">
        <f>ROUND(AE63,0)</f>
        <v>0</v>
      </c>
      <c r="G762" s="275">
        <f>ROUND(AE64,0)</f>
        <v>6397</v>
      </c>
      <c r="H762" s="275">
        <f>ROUND(AE65,0)</f>
        <v>0</v>
      </c>
      <c r="I762" s="275">
        <f>ROUND(AE66,0)</f>
        <v>24007</v>
      </c>
      <c r="J762" s="275">
        <f>ROUND(AE67,0)</f>
        <v>32027</v>
      </c>
      <c r="K762" s="275">
        <f>ROUND(AE68,0)</f>
        <v>866</v>
      </c>
      <c r="L762" s="275">
        <f>ROUND(AE69,0)</f>
        <v>6200</v>
      </c>
      <c r="M762" s="275">
        <f>ROUND(AE70,0)</f>
        <v>13693</v>
      </c>
      <c r="N762" s="275">
        <f>ROUND(AE75,0)</f>
        <v>1715897</v>
      </c>
      <c r="O762" s="275">
        <f>ROUND(AE73,0)</f>
        <v>54713</v>
      </c>
      <c r="P762" s="275">
        <f>IF(AE76&gt;0,ROUND(AE76,0),0)</f>
        <v>2944</v>
      </c>
      <c r="Q762" s="275">
        <f>IF(AE77&gt;0,ROUND(AE77,0),0)</f>
        <v>0</v>
      </c>
      <c r="R762" s="275">
        <f>IF(AE78&gt;0,ROUND(AE78,0),0)</f>
        <v>273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219599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147*2020*7220*A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147*2020*7230*A</v>
      </c>
      <c r="B764" s="275">
        <f>ROUND(AG59,0)</f>
        <v>8307</v>
      </c>
      <c r="C764" s="277">
        <f>ROUND(AG60,2)</f>
        <v>15.45</v>
      </c>
      <c r="D764" s="275">
        <f>ROUND(AG61,0)</f>
        <v>1403640</v>
      </c>
      <c r="E764" s="275">
        <f>ROUND(AG62,0)</f>
        <v>308990</v>
      </c>
      <c r="F764" s="275">
        <f>ROUND(AG63,0)</f>
        <v>2244659</v>
      </c>
      <c r="G764" s="275">
        <f>ROUND(AG64,0)</f>
        <v>182624</v>
      </c>
      <c r="H764" s="275">
        <f>ROUND(AG65,0)</f>
        <v>0</v>
      </c>
      <c r="I764" s="275">
        <f>ROUND(AG66,0)</f>
        <v>136550</v>
      </c>
      <c r="J764" s="275">
        <f>ROUND(AG67,0)</f>
        <v>181269</v>
      </c>
      <c r="K764" s="275">
        <f>ROUND(AG68,0)</f>
        <v>13384</v>
      </c>
      <c r="L764" s="275">
        <f>ROUND(AG69,0)</f>
        <v>1665</v>
      </c>
      <c r="M764" s="275">
        <f>ROUND(AG70,0)</f>
        <v>0</v>
      </c>
      <c r="N764" s="275">
        <f>ROUND(AG75,0)</f>
        <v>12582870</v>
      </c>
      <c r="O764" s="275">
        <f>ROUND(AG73,0)</f>
        <v>450840</v>
      </c>
      <c r="P764" s="275">
        <f>IF(AG76&gt;0,ROUND(AG76,0),0)</f>
        <v>3601</v>
      </c>
      <c r="Q764" s="275">
        <f>IF(AG77&gt;0,ROUND(AG77,0),0)</f>
        <v>0</v>
      </c>
      <c r="R764" s="275">
        <f>IF(AG78&gt;0,ROUND(AG78,0),0)</f>
        <v>5240</v>
      </c>
      <c r="S764" s="275">
        <f>IF(AG79&gt;0,ROUND(AG79,0),0)</f>
        <v>23185</v>
      </c>
      <c r="T764" s="277">
        <f>IF(AG80&gt;0,ROUND(AG80,2),0)</f>
        <v>7.48</v>
      </c>
      <c r="U764" s="275"/>
      <c r="V764" s="276"/>
      <c r="W764" s="275"/>
      <c r="X764" s="275"/>
      <c r="Y764" s="275">
        <f t="shared" si="21"/>
        <v>1218901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147*2020*7240*A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147*2020*7250*A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147*2020*7260*A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147*2020*7310*A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147*2020*7320*A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147*2020*7330*A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147*2020*7340*A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147*2020*7350*A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147*2020*7380*A</v>
      </c>
      <c r="B773" s="275">
        <f>ROUND(AP59,0)</f>
        <v>19595</v>
      </c>
      <c r="C773" s="277">
        <f>ROUND(AP60,2)</f>
        <v>42.54</v>
      </c>
      <c r="D773" s="275">
        <f>ROUND(AP61,0)</f>
        <v>4496280</v>
      </c>
      <c r="E773" s="275">
        <f>ROUND(AP62,0)</f>
        <v>836528</v>
      </c>
      <c r="F773" s="275">
        <f>ROUND(AP63,0)</f>
        <v>32656</v>
      </c>
      <c r="G773" s="275">
        <f>ROUND(AP64,0)</f>
        <v>219624</v>
      </c>
      <c r="H773" s="275">
        <f>ROUND(AP65,0)</f>
        <v>39462</v>
      </c>
      <c r="I773" s="275">
        <f>ROUND(AP66,0)</f>
        <v>298133</v>
      </c>
      <c r="J773" s="275">
        <f>ROUND(AP67,0)</f>
        <v>217884</v>
      </c>
      <c r="K773" s="275">
        <f>ROUND(AP68,0)</f>
        <v>13962</v>
      </c>
      <c r="L773" s="275">
        <f>ROUND(AP69,0)</f>
        <v>239024</v>
      </c>
      <c r="M773" s="275">
        <f>ROUND(AP70,0)</f>
        <v>172803</v>
      </c>
      <c r="N773" s="275">
        <f>ROUND(AP75,0)</f>
        <v>8431600</v>
      </c>
      <c r="O773" s="275">
        <f>ROUND(AP73,0)</f>
        <v>762209</v>
      </c>
      <c r="P773" s="275">
        <f>IF(AP76&gt;0,ROUND(AP76,0),0)</f>
        <v>15729</v>
      </c>
      <c r="Q773" s="275">
        <f>IF(AP77&gt;0,ROUND(AP77,0),0)</f>
        <v>0</v>
      </c>
      <c r="R773" s="275">
        <f>IF(AP78&gt;0,ROUND(AP78,0),0)</f>
        <v>2068</v>
      </c>
      <c r="S773" s="275">
        <f>IF(AP79&gt;0,ROUND(AP79,0),0)</f>
        <v>0</v>
      </c>
      <c r="T773" s="277">
        <f>IF(AP80&gt;0,ROUND(AP80,2),0)</f>
        <v>11.9</v>
      </c>
      <c r="U773" s="275"/>
      <c r="V773" s="276"/>
      <c r="W773" s="275"/>
      <c r="X773" s="275"/>
      <c r="Y773" s="275">
        <f t="shared" si="21"/>
        <v>1465686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147*2020*7390*A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147*2020*7400*A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147*2020*7410*A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147*2020*7420*A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147*2020*7430*A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147*2020*7490*A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147*2020*8200*A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147*2020*8310*A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147*2020*8320*A</v>
      </c>
      <c r="B782" s="275">
        <f>ROUND(AY59,0)</f>
        <v>8264</v>
      </c>
      <c r="C782" s="277">
        <f>ROUND(AY60,2)</f>
        <v>7.15</v>
      </c>
      <c r="D782" s="275">
        <f>ROUND(AY61,0)</f>
        <v>284980</v>
      </c>
      <c r="E782" s="275">
        <f>ROUND(AY62,0)</f>
        <v>97485</v>
      </c>
      <c r="F782" s="275">
        <f>ROUND(AY63,0)</f>
        <v>0</v>
      </c>
      <c r="G782" s="275">
        <f>ROUND(AY64,0)</f>
        <v>171567</v>
      </c>
      <c r="H782" s="275">
        <f>ROUND(AY65,0)</f>
        <v>0</v>
      </c>
      <c r="I782" s="275">
        <f>ROUND(AY66,0)</f>
        <v>6488</v>
      </c>
      <c r="J782" s="275">
        <f>ROUND(AY67,0)</f>
        <v>32567</v>
      </c>
      <c r="K782" s="275">
        <f>ROUND(AY68,0)</f>
        <v>0</v>
      </c>
      <c r="L782" s="275">
        <f>ROUND(AY69,0)</f>
        <v>844</v>
      </c>
      <c r="M782" s="275">
        <f>ROUND(AY70,0)</f>
        <v>114386</v>
      </c>
      <c r="N782" s="275"/>
      <c r="O782" s="275"/>
      <c r="P782" s="275">
        <f>IF(AY76&gt;0,ROUND(AY76,0),0)</f>
        <v>2351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147*2020*8330*A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147*2020*8350*A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1217</v>
      </c>
      <c r="H784" s="275">
        <f>ROUND(BA65,0)</f>
        <v>667</v>
      </c>
      <c r="I784" s="275">
        <f>ROUND(BA66,0)</f>
        <v>167778</v>
      </c>
      <c r="J784" s="275">
        <f>ROUND(BA67,0)</f>
        <v>5505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506</v>
      </c>
      <c r="Q784" s="275">
        <f>IF(BA77&gt;0,ROUND(BA77,0),0)</f>
        <v>0</v>
      </c>
      <c r="R784" s="275">
        <f>IF(BA78&gt;0,ROUND(BA78,0),0)</f>
        <v>570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147*2020*8360*A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147*2020*8370*A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147*2020*8420*A</v>
      </c>
      <c r="B787" s="275"/>
      <c r="C787" s="277">
        <f>ROUND(BD60,2)</f>
        <v>2.1800000000000002</v>
      </c>
      <c r="D787" s="275">
        <f>ROUND(BD61,0)</f>
        <v>115644</v>
      </c>
      <c r="E787" s="275">
        <f>ROUND(BD62,0)</f>
        <v>35698</v>
      </c>
      <c r="F787" s="275">
        <f>ROUND(BD63,0)</f>
        <v>0</v>
      </c>
      <c r="G787" s="275">
        <f>ROUND(BD64,0)</f>
        <v>349</v>
      </c>
      <c r="H787" s="275">
        <f>ROUND(BD65,0)</f>
        <v>0</v>
      </c>
      <c r="I787" s="275">
        <f>ROUND(BD66,0)</f>
        <v>6038</v>
      </c>
      <c r="J787" s="275">
        <f>ROUND(BD67,0)</f>
        <v>3731</v>
      </c>
      <c r="K787" s="275">
        <f>ROUND(BD68,0)</f>
        <v>0</v>
      </c>
      <c r="L787" s="275">
        <f>ROUND(BD69,0)</f>
        <v>369</v>
      </c>
      <c r="M787" s="275">
        <f>ROUND(BD70,0)</f>
        <v>0</v>
      </c>
      <c r="N787" s="275"/>
      <c r="O787" s="275"/>
      <c r="P787" s="275">
        <f>IF(BD76&gt;0,ROUND(BD76,0),0)</f>
        <v>343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147*2020*8430*A</v>
      </c>
      <c r="B788" s="275">
        <f>ROUND(BE59,0)</f>
        <v>82579</v>
      </c>
      <c r="C788" s="277">
        <f>ROUND(BE60,2)</f>
        <v>3.47</v>
      </c>
      <c r="D788" s="275">
        <f>ROUND(BE61,0)</f>
        <v>204751</v>
      </c>
      <c r="E788" s="275">
        <f>ROUND(BE62,0)</f>
        <v>55824</v>
      </c>
      <c r="F788" s="275">
        <f>ROUND(BE63,0)</f>
        <v>0</v>
      </c>
      <c r="G788" s="275">
        <f>ROUND(BE64,0)</f>
        <v>45193</v>
      </c>
      <c r="H788" s="275">
        <f>ROUND(BE65,0)</f>
        <v>333928</v>
      </c>
      <c r="I788" s="275">
        <f>ROUND(BE66,0)</f>
        <v>71937</v>
      </c>
      <c r="J788" s="275">
        <f>ROUND(BE67,0)</f>
        <v>317694</v>
      </c>
      <c r="K788" s="275">
        <f>ROUND(BE68,0)</f>
        <v>0</v>
      </c>
      <c r="L788" s="275">
        <f>ROUND(BE69,0)</f>
        <v>1096</v>
      </c>
      <c r="M788" s="275">
        <f>ROUND(BE70,0)</f>
        <v>0</v>
      </c>
      <c r="N788" s="275"/>
      <c r="O788" s="275"/>
      <c r="P788" s="275">
        <f>IF(BE76&gt;0,ROUND(BE76,0),0)</f>
        <v>24733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147*2020*8460*A</v>
      </c>
      <c r="B789" s="275"/>
      <c r="C789" s="277">
        <f>ROUND(BF60,2)</f>
        <v>10.65</v>
      </c>
      <c r="D789" s="275">
        <f>ROUND(BF61,0)</f>
        <v>329254</v>
      </c>
      <c r="E789" s="275">
        <f>ROUND(BF62,0)</f>
        <v>125640</v>
      </c>
      <c r="F789" s="275">
        <f>ROUND(BF63,0)</f>
        <v>0</v>
      </c>
      <c r="G789" s="275">
        <f>ROUND(BF64,0)</f>
        <v>31762</v>
      </c>
      <c r="H789" s="275">
        <f>ROUND(BF65,0)</f>
        <v>0</v>
      </c>
      <c r="I789" s="275">
        <f>ROUND(BF66,0)</f>
        <v>918</v>
      </c>
      <c r="J789" s="275">
        <f>ROUND(BF67,0)</f>
        <v>3808</v>
      </c>
      <c r="K789" s="275">
        <f>ROUND(BF68,0)</f>
        <v>0</v>
      </c>
      <c r="L789" s="275">
        <f>ROUND(BF69,0)</f>
        <v>389</v>
      </c>
      <c r="M789" s="275">
        <f>ROUND(BF70,0)</f>
        <v>0</v>
      </c>
      <c r="N789" s="275"/>
      <c r="O789" s="275"/>
      <c r="P789" s="275">
        <f>IF(BF76&gt;0,ROUND(BF76,0),0)</f>
        <v>350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147*2020*8470*A</v>
      </c>
      <c r="B790" s="275"/>
      <c r="C790" s="277">
        <f>ROUND(BG60,2)</f>
        <v>0.59</v>
      </c>
      <c r="D790" s="275">
        <f>ROUND(BG61,0)</f>
        <v>32530</v>
      </c>
      <c r="E790" s="275">
        <f>ROUND(BG62,0)</f>
        <v>16341</v>
      </c>
      <c r="F790" s="275">
        <f>ROUND(BG63,0)</f>
        <v>0</v>
      </c>
      <c r="G790" s="275">
        <f>ROUND(BG64,0)</f>
        <v>0</v>
      </c>
      <c r="H790" s="275">
        <f>ROUND(BG65,0)</f>
        <v>80035</v>
      </c>
      <c r="I790" s="275">
        <f>ROUND(BG66,0)</f>
        <v>12132</v>
      </c>
      <c r="J790" s="275">
        <f>ROUND(BG67,0)</f>
        <v>3177</v>
      </c>
      <c r="K790" s="275">
        <f>ROUND(BG68,0)</f>
        <v>2248</v>
      </c>
      <c r="L790" s="275">
        <f>ROUND(BG69,0)</f>
        <v>0</v>
      </c>
      <c r="M790" s="275">
        <f>ROUND(BG70,0)</f>
        <v>1598</v>
      </c>
      <c r="N790" s="275"/>
      <c r="O790" s="275"/>
      <c r="P790" s="275">
        <f>IF(BG76&gt;0,ROUND(BG76,0),0)</f>
        <v>292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147*2020*8480*A</v>
      </c>
      <c r="B791" s="275"/>
      <c r="C791" s="277">
        <f>ROUND(BH60,2)</f>
        <v>3.92</v>
      </c>
      <c r="D791" s="275">
        <f>ROUND(BH61,0)</f>
        <v>283758</v>
      </c>
      <c r="E791" s="275">
        <f>ROUND(BH62,0)</f>
        <v>81827</v>
      </c>
      <c r="F791" s="275">
        <f>ROUND(BH63,0)</f>
        <v>0</v>
      </c>
      <c r="G791" s="275">
        <f>ROUND(BH64,0)</f>
        <v>27769</v>
      </c>
      <c r="H791" s="275">
        <f>ROUND(BH65,0)</f>
        <v>0</v>
      </c>
      <c r="I791" s="275">
        <f>ROUND(BH66,0)</f>
        <v>368558</v>
      </c>
      <c r="J791" s="275">
        <f>ROUND(BH67,0)</f>
        <v>47895</v>
      </c>
      <c r="K791" s="275">
        <f>ROUND(BH68,0)</f>
        <v>9000</v>
      </c>
      <c r="L791" s="275">
        <f>ROUND(BH69,0)</f>
        <v>3422</v>
      </c>
      <c r="M791" s="275">
        <f>ROUND(BH70,0)</f>
        <v>0</v>
      </c>
      <c r="N791" s="275"/>
      <c r="O791" s="275"/>
      <c r="P791" s="275">
        <f>IF(BH76&gt;0,ROUND(BH76,0),0)</f>
        <v>652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147*2020*8490*A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147*2020*8510*A</v>
      </c>
      <c r="B793" s="275"/>
      <c r="C793" s="277">
        <f>ROUND(BJ60,2)</f>
        <v>5.27</v>
      </c>
      <c r="D793" s="275">
        <f>ROUND(BJ61,0)</f>
        <v>472230</v>
      </c>
      <c r="E793" s="275">
        <f>ROUND(BJ62,0)</f>
        <v>106839</v>
      </c>
      <c r="F793" s="275">
        <f>ROUND(BJ63,0)</f>
        <v>68019</v>
      </c>
      <c r="G793" s="275">
        <f>ROUND(BJ64,0)</f>
        <v>15880</v>
      </c>
      <c r="H793" s="275">
        <f>ROUND(BJ65,0)</f>
        <v>0</v>
      </c>
      <c r="I793" s="275">
        <f>ROUND(BJ66,0)</f>
        <v>56190</v>
      </c>
      <c r="J793" s="275">
        <f>ROUND(BJ67,0)</f>
        <v>16197</v>
      </c>
      <c r="K793" s="275">
        <f>ROUND(BJ68,0)</f>
        <v>9122</v>
      </c>
      <c r="L793" s="275">
        <f>ROUND(BJ69,0)</f>
        <v>8162</v>
      </c>
      <c r="M793" s="275">
        <f>ROUND(BJ70,0)</f>
        <v>0</v>
      </c>
      <c r="N793" s="275"/>
      <c r="O793" s="275"/>
      <c r="P793" s="275">
        <f>IF(BJ76&gt;0,ROUND(BJ76,0),0)</f>
        <v>615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147*2020*8530*A</v>
      </c>
      <c r="B794" s="275"/>
      <c r="C794" s="277">
        <f>ROUND(BK60,2)</f>
        <v>13.59</v>
      </c>
      <c r="D794" s="275">
        <f>ROUND(BK61,0)</f>
        <v>540901</v>
      </c>
      <c r="E794" s="275">
        <f>ROUND(BK62,0)</f>
        <v>205141</v>
      </c>
      <c r="F794" s="275">
        <f>ROUND(BK63,0)</f>
        <v>90236</v>
      </c>
      <c r="G794" s="275">
        <f>ROUND(BK64,0)</f>
        <v>21756</v>
      </c>
      <c r="H794" s="275">
        <f>ROUND(BK65,0)</f>
        <v>0</v>
      </c>
      <c r="I794" s="275">
        <f>ROUND(BK66,0)</f>
        <v>130323</v>
      </c>
      <c r="J794" s="275">
        <f>ROUND(BK67,0)</f>
        <v>19070</v>
      </c>
      <c r="K794" s="275">
        <f>ROUND(BK68,0)</f>
        <v>16453</v>
      </c>
      <c r="L794" s="275">
        <f>ROUND(BK69,0)</f>
        <v>1231</v>
      </c>
      <c r="M794" s="275">
        <f>ROUND(BK70,0)</f>
        <v>0</v>
      </c>
      <c r="N794" s="275"/>
      <c r="O794" s="275"/>
      <c r="P794" s="275">
        <f>IF(BK76&gt;0,ROUND(BK76,0),0)</f>
        <v>1753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147*2020*8560*A</v>
      </c>
      <c r="B795" s="275"/>
      <c r="C795" s="277">
        <f>ROUND(BL60,2)</f>
        <v>6.9</v>
      </c>
      <c r="D795" s="275">
        <f>ROUND(BL61,0)</f>
        <v>158878</v>
      </c>
      <c r="E795" s="275">
        <f>ROUND(BL62,0)</f>
        <v>92492</v>
      </c>
      <c r="F795" s="275">
        <f>ROUND(BL63,0)</f>
        <v>0</v>
      </c>
      <c r="G795" s="275">
        <f>ROUND(BL64,0)</f>
        <v>17236</v>
      </c>
      <c r="H795" s="275">
        <f>ROUND(BL65,0)</f>
        <v>0</v>
      </c>
      <c r="I795" s="275">
        <f>ROUND(BL66,0)</f>
        <v>6038</v>
      </c>
      <c r="J795" s="275">
        <f>ROUND(BL67,0)</f>
        <v>2741</v>
      </c>
      <c r="K795" s="275">
        <f>ROUND(BL68,0)</f>
        <v>928</v>
      </c>
      <c r="L795" s="275">
        <f>ROUND(BL69,0)</f>
        <v>-21</v>
      </c>
      <c r="M795" s="275">
        <f>ROUND(BL70,0)</f>
        <v>0</v>
      </c>
      <c r="N795" s="275"/>
      <c r="O795" s="275"/>
      <c r="P795" s="275">
        <f>IF(BL76&gt;0,ROUND(BL76,0),0)</f>
        <v>252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147*2020*8590*A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147*2020*8610*A</v>
      </c>
      <c r="B797" s="275"/>
      <c r="C797" s="277">
        <f>ROUND(BN60,2)</f>
        <v>4.58</v>
      </c>
      <c r="D797" s="275">
        <f>ROUND(BN61,0)</f>
        <v>640548</v>
      </c>
      <c r="E797" s="275">
        <f>ROUND(BN62,0)</f>
        <v>117285</v>
      </c>
      <c r="F797" s="275">
        <f>ROUND(BN63,0)</f>
        <v>30985</v>
      </c>
      <c r="G797" s="275">
        <f>ROUND(BN64,0)</f>
        <v>13054</v>
      </c>
      <c r="H797" s="275">
        <f>ROUND(BN65,0)</f>
        <v>0</v>
      </c>
      <c r="I797" s="275">
        <f>ROUND(BN66,0)</f>
        <v>91902</v>
      </c>
      <c r="J797" s="275">
        <f>ROUND(BN67,0)</f>
        <v>7626</v>
      </c>
      <c r="K797" s="275">
        <f>ROUND(BN68,0)</f>
        <v>7111</v>
      </c>
      <c r="L797" s="275">
        <f>ROUND(BN69,0)</f>
        <v>67464</v>
      </c>
      <c r="M797" s="275">
        <f>ROUND(BN70,0)</f>
        <v>0</v>
      </c>
      <c r="N797" s="275"/>
      <c r="O797" s="275"/>
      <c r="P797" s="275">
        <f>IF(BN76&gt;0,ROUND(BN76,0),0)</f>
        <v>701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147*2020*8620*A</v>
      </c>
      <c r="B798" s="275"/>
      <c r="C798" s="277">
        <f>ROUND(BO60,2)</f>
        <v>2.27</v>
      </c>
      <c r="D798" s="275">
        <f>ROUND(BO61,0)</f>
        <v>268114</v>
      </c>
      <c r="E798" s="275">
        <f>ROUND(BO62,0)</f>
        <v>38307</v>
      </c>
      <c r="F798" s="275">
        <f>ROUND(BO63,0)</f>
        <v>0</v>
      </c>
      <c r="G798" s="275">
        <f>ROUND(BO64,0)</f>
        <v>7586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124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147*2020*8630*A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147*2020*8640*A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147*2020*8650*A</v>
      </c>
      <c r="B801" s="275"/>
      <c r="C801" s="277">
        <f>ROUND(BR60,2)</f>
        <v>2.04</v>
      </c>
      <c r="D801" s="275">
        <f>ROUND(BR61,0)</f>
        <v>188302</v>
      </c>
      <c r="E801" s="275">
        <f>ROUND(BR62,0)</f>
        <v>44488</v>
      </c>
      <c r="F801" s="275">
        <f>ROUND(BR63,0)</f>
        <v>3618</v>
      </c>
      <c r="G801" s="275">
        <f>ROUND(BR64,0)</f>
        <v>856</v>
      </c>
      <c r="H801" s="275">
        <f>ROUND(BR65,0)</f>
        <v>0</v>
      </c>
      <c r="I801" s="275">
        <f>ROUND(BR66,0)</f>
        <v>6590</v>
      </c>
      <c r="J801" s="275">
        <f>ROUND(BR67,0)</f>
        <v>3514</v>
      </c>
      <c r="K801" s="275">
        <f>ROUND(BR68,0)</f>
        <v>0</v>
      </c>
      <c r="L801" s="275">
        <f>ROUND(BR69,0)</f>
        <v>62147</v>
      </c>
      <c r="M801" s="275">
        <f>ROUND(BR70,0)</f>
        <v>0</v>
      </c>
      <c r="N801" s="275"/>
      <c r="O801" s="275"/>
      <c r="P801" s="275">
        <f>IF(BR76&gt;0,ROUND(BR76,0),0)</f>
        <v>323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147*2020*8660*A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147*2020*8670*A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147*2020*8680*A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147*2020*8690*A</v>
      </c>
      <c r="B805" s="275"/>
      <c r="C805" s="277">
        <f>ROUND(BV60,2)</f>
        <v>7.85</v>
      </c>
      <c r="D805" s="275">
        <f>ROUND(BV61,0)</f>
        <v>372787</v>
      </c>
      <c r="E805" s="275">
        <f>ROUND(BV62,0)</f>
        <v>115125</v>
      </c>
      <c r="F805" s="275">
        <f>ROUND(BV63,0)</f>
        <v>0</v>
      </c>
      <c r="G805" s="275">
        <f>ROUND(BV64,0)</f>
        <v>283</v>
      </c>
      <c r="H805" s="275">
        <f>ROUND(BV65,0)</f>
        <v>0</v>
      </c>
      <c r="I805" s="275">
        <f>ROUND(BV66,0)</f>
        <v>93927</v>
      </c>
      <c r="J805" s="275">
        <f>ROUND(BV67,0)</f>
        <v>16817</v>
      </c>
      <c r="K805" s="275">
        <f>ROUND(BV68,0)</f>
        <v>1160</v>
      </c>
      <c r="L805" s="275">
        <f>ROUND(BV69,0)</f>
        <v>756</v>
      </c>
      <c r="M805" s="275">
        <f>ROUND(BV70,0)</f>
        <v>13380</v>
      </c>
      <c r="N805" s="275"/>
      <c r="O805" s="275"/>
      <c r="P805" s="275">
        <f>IF(BV76&gt;0,ROUND(BV76,0),0)</f>
        <v>1508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147*2020*8700*A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147*2020*8710*A</v>
      </c>
      <c r="B807" s="275"/>
      <c r="C807" s="277">
        <f>ROUND(BX60,2)</f>
        <v>1.1599999999999999</v>
      </c>
      <c r="D807" s="275">
        <f>ROUND(BX61,0)</f>
        <v>82861</v>
      </c>
      <c r="E807" s="275">
        <f>ROUND(BX62,0)</f>
        <v>21666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1510</v>
      </c>
      <c r="J807" s="275">
        <f>ROUND(BX67,0)</f>
        <v>0</v>
      </c>
      <c r="K807" s="275">
        <f>ROUND(BX68,0)</f>
        <v>0</v>
      </c>
      <c r="L807" s="275">
        <f>ROUND(BX69,0)</f>
        <v>4665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147*2020*8720*A</v>
      </c>
      <c r="B808" s="275"/>
      <c r="C808" s="277">
        <f>ROUND(BY60,2)</f>
        <v>2.63</v>
      </c>
      <c r="D808" s="275">
        <f>ROUND(BY61,0)</f>
        <v>221743</v>
      </c>
      <c r="E808" s="275">
        <f>ROUND(BY62,0)</f>
        <v>56063</v>
      </c>
      <c r="F808" s="275">
        <f>ROUND(BY63,0)</f>
        <v>0</v>
      </c>
      <c r="G808" s="275">
        <f>ROUND(BY64,0)</f>
        <v>268</v>
      </c>
      <c r="H808" s="275">
        <f>ROUND(BY65,0)</f>
        <v>0</v>
      </c>
      <c r="I808" s="275">
        <f>ROUND(BY66,0)</f>
        <v>225</v>
      </c>
      <c r="J808" s="275">
        <f>ROUND(BY67,0)</f>
        <v>2883</v>
      </c>
      <c r="K808" s="275">
        <f>ROUND(BY68,0)</f>
        <v>0</v>
      </c>
      <c r="L808" s="275">
        <f>ROUND(BY69,0)</f>
        <v>677</v>
      </c>
      <c r="M808" s="275">
        <f>ROUND(BY70,0)</f>
        <v>0</v>
      </c>
      <c r="N808" s="275"/>
      <c r="O808" s="275"/>
      <c r="P808" s="275">
        <f>IF(BY76&gt;0,ROUND(BY76,0),0)</f>
        <v>265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147*2020*8730*A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147*2020*8740*A</v>
      </c>
      <c r="B810" s="275"/>
      <c r="C810" s="277">
        <f>ROUND(CA60,2)</f>
        <v>0.04</v>
      </c>
      <c r="D810" s="275">
        <f>ROUND(CA61,0)</f>
        <v>4146</v>
      </c>
      <c r="E810" s="275">
        <f>ROUND(CA62,0)</f>
        <v>882</v>
      </c>
      <c r="F810" s="275">
        <f>ROUND(CA63,0)</f>
        <v>0</v>
      </c>
      <c r="G810" s="275">
        <f>ROUND(CA64,0)</f>
        <v>10867</v>
      </c>
      <c r="H810" s="275">
        <f>ROUND(CA65,0)</f>
        <v>0</v>
      </c>
      <c r="I810" s="275">
        <f>ROUND(CA66,0)</f>
        <v>59491</v>
      </c>
      <c r="J810" s="275">
        <f>ROUND(CA67,0)</f>
        <v>34911</v>
      </c>
      <c r="K810" s="275">
        <f>ROUND(CA68,0)</f>
        <v>0</v>
      </c>
      <c r="L810" s="275">
        <f>ROUND(CA69,0)</f>
        <v>-255</v>
      </c>
      <c r="M810" s="275">
        <f>ROUND(CA70,0)</f>
        <v>250</v>
      </c>
      <c r="N810" s="275"/>
      <c r="O810" s="275"/>
      <c r="P810" s="275">
        <f>IF(CA76&gt;0,ROUND(CA76,0),0)</f>
        <v>2838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147*2020*8770*A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147*2020*8790*A</v>
      </c>
      <c r="B812" s="275"/>
      <c r="C812" s="277">
        <f>ROUND(CC60,2)</f>
        <v>0.1</v>
      </c>
      <c r="D812" s="275">
        <f>ROUND(CC61,0)</f>
        <v>25381</v>
      </c>
      <c r="E812" s="275">
        <f>ROUND(CC62,0)</f>
        <v>2198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466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147*2020*9000*A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524601</v>
      </c>
      <c r="V813" s="276">
        <f>ROUND(CD70,0)</f>
        <v>172984</v>
      </c>
      <c r="W813" s="275">
        <f>ROUND(CE72,0)</f>
        <v>1045048</v>
      </c>
      <c r="X813" s="275">
        <f>ROUND(C131,0)</f>
        <v>13092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217.35</v>
      </c>
      <c r="D815" s="276">
        <f t="shared" si="22"/>
        <v>16675864</v>
      </c>
      <c r="E815" s="276">
        <f t="shared" si="22"/>
        <v>3949924</v>
      </c>
      <c r="F815" s="276">
        <f t="shared" si="22"/>
        <v>4841610</v>
      </c>
      <c r="G815" s="276">
        <f t="shared" si="22"/>
        <v>4925910</v>
      </c>
      <c r="H815" s="276">
        <f t="shared" si="22"/>
        <v>454092</v>
      </c>
      <c r="I815" s="276">
        <f t="shared" si="22"/>
        <v>2475829</v>
      </c>
      <c r="J815" s="276">
        <f t="shared" si="22"/>
        <v>2031935</v>
      </c>
      <c r="K815" s="276">
        <f t="shared" si="22"/>
        <v>272476</v>
      </c>
      <c r="L815" s="276">
        <f>SUM(L734:L813)+SUM(U734:U813)</f>
        <v>997832</v>
      </c>
      <c r="M815" s="276">
        <f>SUM(M734:M813)+SUM(V734:V813)</f>
        <v>964782</v>
      </c>
      <c r="N815" s="276">
        <f t="shared" ref="N815:Y815" si="23">SUM(N734:N813)</f>
        <v>74169137</v>
      </c>
      <c r="O815" s="276">
        <f t="shared" si="23"/>
        <v>12360456</v>
      </c>
      <c r="P815" s="276">
        <f t="shared" si="23"/>
        <v>82579</v>
      </c>
      <c r="Q815" s="276">
        <f t="shared" si="23"/>
        <v>8264</v>
      </c>
      <c r="R815" s="276">
        <f t="shared" si="23"/>
        <v>18971</v>
      </c>
      <c r="S815" s="276">
        <f t="shared" si="23"/>
        <v>172594</v>
      </c>
      <c r="T815" s="280">
        <f t="shared" si="23"/>
        <v>47.639999999999993</v>
      </c>
      <c r="U815" s="276">
        <f t="shared" si="23"/>
        <v>524601</v>
      </c>
      <c r="V815" s="276">
        <f t="shared" si="23"/>
        <v>172984</v>
      </c>
      <c r="W815" s="276">
        <f t="shared" si="23"/>
        <v>1045048</v>
      </c>
      <c r="X815" s="276">
        <f t="shared" si="23"/>
        <v>13092</v>
      </c>
      <c r="Y815" s="276">
        <f t="shared" si="23"/>
        <v>8430978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217.35</v>
      </c>
      <c r="D816" s="276">
        <f>CE61</f>
        <v>16675860.270000001</v>
      </c>
      <c r="E816" s="276">
        <f>CE62</f>
        <v>3949924</v>
      </c>
      <c r="F816" s="276">
        <f>CE63</f>
        <v>4841609.6599999992</v>
      </c>
      <c r="G816" s="276">
        <f>CE64</f>
        <v>4925909.5200000023</v>
      </c>
      <c r="H816" s="279">
        <f>CE65</f>
        <v>454091.60000000003</v>
      </c>
      <c r="I816" s="279">
        <f>CE66</f>
        <v>2475830.4000000004</v>
      </c>
      <c r="J816" s="279">
        <f>CE67</f>
        <v>2031935</v>
      </c>
      <c r="K816" s="279">
        <f>CE68</f>
        <v>272473.89</v>
      </c>
      <c r="L816" s="279">
        <f>CE69</f>
        <v>997830.45</v>
      </c>
      <c r="M816" s="279">
        <f>CE70</f>
        <v>964782.22</v>
      </c>
      <c r="N816" s="276">
        <f>CE75</f>
        <v>74169136.239999995</v>
      </c>
      <c r="O816" s="276">
        <f>CE73</f>
        <v>12360455.989999998</v>
      </c>
      <c r="P816" s="276">
        <f>CE76</f>
        <v>82579</v>
      </c>
      <c r="Q816" s="276">
        <f>CE77</f>
        <v>8264</v>
      </c>
      <c r="R816" s="276">
        <f>CE78</f>
        <v>18969.63</v>
      </c>
      <c r="S816" s="276">
        <f>CE79</f>
        <v>172592.93999999997</v>
      </c>
      <c r="T816" s="280">
        <f>CE80</f>
        <v>47.639999999999993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8430978.5800000001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16675860.27</v>
      </c>
      <c r="E817" s="180">
        <f>C379</f>
        <v>3949921.4</v>
      </c>
      <c r="F817" s="180">
        <f>C380</f>
        <v>4841609.66</v>
      </c>
      <c r="G817" s="239">
        <f>C381</f>
        <v>4925909.8499999996</v>
      </c>
      <c r="H817" s="239">
        <f>C382</f>
        <v>454092.04</v>
      </c>
      <c r="I817" s="239">
        <f>C383</f>
        <v>2475830.4</v>
      </c>
      <c r="J817" s="239">
        <f>C384</f>
        <v>2015874.61</v>
      </c>
      <c r="K817" s="239">
        <f>C385</f>
        <v>272473.89</v>
      </c>
      <c r="L817" s="239">
        <f>C386+C387+C388+C389</f>
        <v>1283627.02</v>
      </c>
      <c r="M817" s="239">
        <f>C370</f>
        <v>964782.22</v>
      </c>
      <c r="N817" s="180">
        <f>D361</f>
        <v>74169136.239999995</v>
      </c>
      <c r="O817" s="180">
        <f>C359</f>
        <v>12360455.99</v>
      </c>
    </row>
  </sheetData>
  <mergeCells count="1">
    <mergeCell ref="B220:C220"/>
  </mergeCells>
  <phoneticPr fontId="0" type="noConversion"/>
  <hyperlinks>
    <hyperlink ref="F16" r:id="rId1" xr:uid="{00000000-0004-0000-0000-000000000000}"/>
    <hyperlink ref="C17" r:id="rId2" xr:uid="{00000000-0004-0000-00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C230" transitionEvaluation="1" transitionEntry="1">
    <pageSetUpPr autoPageBreaks="0" fitToPage="1"/>
  </sheetPr>
  <dimension ref="A1:CF817"/>
  <sheetViews>
    <sheetView showGridLines="0" topLeftCell="A39" zoomScaleNormal="100" workbookViewId="0">
      <pane xSplit="2" ySplit="8" topLeftCell="C230" activePane="bottomRight" state="frozen"/>
      <selection activeCell="A39" sqref="A39"/>
      <selection pane="topRight" activeCell="C39" sqref="C39"/>
      <selection pane="bottomLeft" activeCell="A47" sqref="A47"/>
      <selection pane="bottomRight" activeCell="CF82" sqref="CF82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1231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180" t="s">
        <v>1260</v>
      </c>
      <c r="C16" s="235"/>
      <c r="F16" s="282" t="s">
        <v>1259</v>
      </c>
    </row>
    <row r="17" spans="1:6" ht="12.75" customHeight="1" x14ac:dyDescent="0.35">
      <c r="A17" s="180" t="s">
        <v>1230</v>
      </c>
      <c r="C17" s="282" t="s">
        <v>1259</v>
      </c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5">
      <c r="A21" s="199"/>
      <c r="C21" s="235"/>
    </row>
    <row r="22" spans="1:6" ht="12.65" customHeight="1" x14ac:dyDescent="0.35">
      <c r="A22" s="236" t="s">
        <v>1254</v>
      </c>
      <c r="B22" s="237"/>
      <c r="C22" s="238"/>
      <c r="D22" s="236"/>
      <c r="E22" s="236"/>
    </row>
    <row r="23" spans="1:6" ht="12.65" customHeight="1" x14ac:dyDescent="0.35">
      <c r="B23" s="199"/>
      <c r="C23" s="235"/>
    </row>
    <row r="24" spans="1:6" ht="12.65" customHeight="1" x14ac:dyDescent="0.35">
      <c r="A24" s="239" t="s">
        <v>3</v>
      </c>
      <c r="C24" s="235"/>
    </row>
    <row r="25" spans="1:6" ht="12.65" customHeight="1" x14ac:dyDescent="0.35">
      <c r="A25" s="198" t="s">
        <v>1235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1236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1237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1238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4129442</v>
      </c>
      <c r="C47" s="184"/>
      <c r="D47" s="184"/>
      <c r="E47" s="184">
        <v>610912</v>
      </c>
      <c r="F47" s="184"/>
      <c r="G47" s="184"/>
      <c r="H47" s="184"/>
      <c r="I47" s="184"/>
      <c r="J47" s="184"/>
      <c r="K47" s="184"/>
      <c r="L47" s="184"/>
      <c r="M47" s="184"/>
      <c r="N47" s="184"/>
      <c r="O47" s="184">
        <v>187540</v>
      </c>
      <c r="P47" s="184">
        <v>220453.21</v>
      </c>
      <c r="Q47" s="184">
        <v>109125.64</v>
      </c>
      <c r="R47" s="184">
        <v>0</v>
      </c>
      <c r="S47" s="184">
        <v>28795.85</v>
      </c>
      <c r="T47" s="184"/>
      <c r="U47" s="184">
        <v>155834.51999999999</v>
      </c>
      <c r="V47" s="184"/>
      <c r="W47" s="184"/>
      <c r="X47" s="184"/>
      <c r="Y47" s="184">
        <v>191230.9</v>
      </c>
      <c r="Z47" s="184"/>
      <c r="AA47" s="184"/>
      <c r="AB47" s="184">
        <v>43129.62</v>
      </c>
      <c r="AC47" s="184">
        <v>58531.22</v>
      </c>
      <c r="AD47" s="184"/>
      <c r="AE47" s="184">
        <v>147327.92000000001</v>
      </c>
      <c r="AF47" s="184"/>
      <c r="AG47" s="184">
        <v>394436.3</v>
      </c>
      <c r="AH47" s="184"/>
      <c r="AI47" s="184"/>
      <c r="AJ47" s="184"/>
      <c r="AK47" s="184"/>
      <c r="AL47" s="184"/>
      <c r="AM47" s="184"/>
      <c r="AN47" s="184"/>
      <c r="AO47" s="184"/>
      <c r="AP47" s="184">
        <v>803752.89</v>
      </c>
      <c r="AQ47" s="184"/>
      <c r="AR47" s="184"/>
      <c r="AS47" s="184"/>
      <c r="AT47" s="184"/>
      <c r="AU47" s="184"/>
      <c r="AV47" s="184"/>
      <c r="AW47" s="184"/>
      <c r="AX47" s="184"/>
      <c r="AY47" s="184">
        <v>101858.71</v>
      </c>
      <c r="AZ47" s="184"/>
      <c r="BA47" s="184"/>
      <c r="BB47" s="184"/>
      <c r="BC47" s="184"/>
      <c r="BD47" s="184">
        <v>34963.129999999997</v>
      </c>
      <c r="BE47" s="184">
        <v>55261.49</v>
      </c>
      <c r="BF47" s="184">
        <v>130154.18</v>
      </c>
      <c r="BG47" s="184">
        <v>15473.98</v>
      </c>
      <c r="BH47" s="184">
        <v>74828.17</v>
      </c>
      <c r="BI47" s="184"/>
      <c r="BJ47" s="184">
        <v>87519.85</v>
      </c>
      <c r="BK47" s="184">
        <v>177460.37</v>
      </c>
      <c r="BL47" s="184">
        <v>130191.14</v>
      </c>
      <c r="BM47" s="184"/>
      <c r="BN47" s="184">
        <v>101972.19</v>
      </c>
      <c r="BO47" s="184">
        <v>56.72</v>
      </c>
      <c r="BP47" s="184"/>
      <c r="BQ47" s="184"/>
      <c r="BR47" s="184">
        <v>43174.58</v>
      </c>
      <c r="BS47" s="184"/>
      <c r="BT47" s="184"/>
      <c r="BU47" s="184"/>
      <c r="BV47" s="184">
        <v>128591.48</v>
      </c>
      <c r="BW47" s="184"/>
      <c r="BX47" s="184">
        <v>20298.98</v>
      </c>
      <c r="BY47" s="184">
        <v>73617.03</v>
      </c>
      <c r="BZ47" s="184"/>
      <c r="CA47" s="184">
        <v>542</v>
      </c>
      <c r="CB47" s="184"/>
      <c r="CC47" s="184">
        <v>2408.2199999999998</v>
      </c>
      <c r="CD47" s="195"/>
      <c r="CE47" s="195">
        <f>SUM(C47:CC47)</f>
        <v>4129442.2900000005</v>
      </c>
    </row>
    <row r="48" spans="1:83" ht="12.65" customHeight="1" x14ac:dyDescent="0.35">
      <c r="A48" s="175" t="s">
        <v>205</v>
      </c>
      <c r="B48" s="183">
        <v>52881.56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7456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1778</v>
      </c>
      <c r="P48" s="195">
        <f>ROUND(((B48/CE61)*P61),0)</f>
        <v>2600</v>
      </c>
      <c r="Q48" s="195">
        <f>ROUND(((B48/CE61)*Q61),0)</f>
        <v>1713</v>
      </c>
      <c r="R48" s="195">
        <f>ROUND(((B48/CE61)*R61),0)</f>
        <v>0</v>
      </c>
      <c r="S48" s="195">
        <f>ROUND(((B48/CE61)*S61),0)</f>
        <v>181</v>
      </c>
      <c r="T48" s="195">
        <f>ROUND(((B48/CE61)*T61),0)</f>
        <v>0</v>
      </c>
      <c r="U48" s="195">
        <f>ROUND(((B48/CE61)*U61),0)</f>
        <v>1938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2541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608</v>
      </c>
      <c r="AC48" s="195">
        <f>ROUND(((B48/CE61)*AC61),0)</f>
        <v>769</v>
      </c>
      <c r="AD48" s="195">
        <f>ROUND(((B48/CE61)*AD61),0)</f>
        <v>0</v>
      </c>
      <c r="AE48" s="195">
        <f>ROUND(((B48/CE61)*AE61),0)</f>
        <v>1706</v>
      </c>
      <c r="AF48" s="195">
        <f>ROUND(((B48/CE61)*AF61),0)</f>
        <v>0</v>
      </c>
      <c r="AG48" s="195">
        <f>ROUND(((B48/CE61)*AG61),0)</f>
        <v>4938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14354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876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358</v>
      </c>
      <c r="BE48" s="195">
        <f>ROUND(((B48/CE61)*BE61),0)</f>
        <v>646</v>
      </c>
      <c r="BF48" s="195">
        <f>ROUND(((B48/CE61)*BF61),0)</f>
        <v>1054</v>
      </c>
      <c r="BG48" s="195">
        <f>ROUND(((B48/CE61)*BG61),0)</f>
        <v>98</v>
      </c>
      <c r="BH48" s="195">
        <f>ROUND(((B48/CE61)*BH61),0)</f>
        <v>902</v>
      </c>
      <c r="BI48" s="195">
        <f>ROUND(((B48/CE61)*BI61),0)</f>
        <v>0</v>
      </c>
      <c r="BJ48" s="195">
        <f>ROUND(((B48/CE61)*BJ61),0)</f>
        <v>1294</v>
      </c>
      <c r="BK48" s="195">
        <f>ROUND(((B48/CE61)*BK61),0)</f>
        <v>1445</v>
      </c>
      <c r="BL48" s="195">
        <f>ROUND(((B48/CE61)*BL61),0)</f>
        <v>585</v>
      </c>
      <c r="BM48" s="195">
        <f>ROUND(((B48/CE61)*BM61),0)</f>
        <v>0</v>
      </c>
      <c r="BN48" s="195">
        <f>ROUND(((B48/CE61)*BN61),0)</f>
        <v>1744</v>
      </c>
      <c r="BO48" s="195">
        <f>ROUND(((B48/CE61)*BO61),0)</f>
        <v>138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594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1334</v>
      </c>
      <c r="BW48" s="195">
        <f>ROUND(((B48/CE61)*BW61),0)</f>
        <v>0</v>
      </c>
      <c r="BX48" s="195">
        <f>ROUND(((B48/CE61)*BX61),0)</f>
        <v>248</v>
      </c>
      <c r="BY48" s="195">
        <f>ROUND(((B48/CE61)*BY61),0)</f>
        <v>792</v>
      </c>
      <c r="BZ48" s="195">
        <f>ROUND(((B48/CE61)*BZ61),0)</f>
        <v>0</v>
      </c>
      <c r="CA48" s="195">
        <f>ROUND(((B48/CE61)*CA61),0)</f>
        <v>99</v>
      </c>
      <c r="CB48" s="195">
        <f>ROUND(((B48/CE61)*CB61),0)</f>
        <v>0</v>
      </c>
      <c r="CC48" s="195">
        <f>ROUND(((B48/CE61)*CC61),0)</f>
        <v>93</v>
      </c>
      <c r="CD48" s="195"/>
      <c r="CE48" s="195">
        <f>SUM(C48:CD48)</f>
        <v>52882</v>
      </c>
    </row>
    <row r="49" spans="1:84" ht="12.65" customHeight="1" x14ac:dyDescent="0.35">
      <c r="A49" s="175" t="s">
        <v>206</v>
      </c>
      <c r="B49" s="195">
        <f>B47+B48</f>
        <v>4182323.56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1095351</v>
      </c>
      <c r="C51" s="184"/>
      <c r="D51" s="184"/>
      <c r="E51" s="184">
        <v>36541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>
        <v>30530</v>
      </c>
      <c r="P51" s="184">
        <v>273969</v>
      </c>
      <c r="Q51" s="184">
        <v>12311</v>
      </c>
      <c r="R51" s="184"/>
      <c r="S51" s="184">
        <v>755</v>
      </c>
      <c r="T51" s="184"/>
      <c r="U51" s="184">
        <v>27313</v>
      </c>
      <c r="V51" s="184"/>
      <c r="W51" s="184"/>
      <c r="X51" s="184"/>
      <c r="Y51" s="184">
        <v>427308</v>
      </c>
      <c r="Z51" s="184"/>
      <c r="AA51" s="184"/>
      <c r="AB51" s="184"/>
      <c r="AC51" s="184">
        <f>7+4729.84+1159.6</f>
        <v>5896.4400000000005</v>
      </c>
      <c r="AD51" s="184"/>
      <c r="AE51" s="184"/>
      <c r="AF51" s="184"/>
      <c r="AG51" s="184">
        <v>124042</v>
      </c>
      <c r="AH51" s="184"/>
      <c r="AI51" s="184"/>
      <c r="AJ51" s="184"/>
      <c r="AK51" s="184"/>
      <c r="AL51" s="184"/>
      <c r="AM51" s="184"/>
      <c r="AN51" s="184"/>
      <c r="AO51" s="184"/>
      <c r="AP51" s="184">
        <v>46387</v>
      </c>
      <c r="AQ51" s="184"/>
      <c r="AR51" s="184"/>
      <c r="AS51" s="184"/>
      <c r="AT51" s="184"/>
      <c r="AU51" s="184"/>
      <c r="AV51" s="184"/>
      <c r="AW51" s="184"/>
      <c r="AX51" s="184"/>
      <c r="AY51" s="184">
        <v>6964</v>
      </c>
      <c r="AZ51" s="184"/>
      <c r="BA51" s="184"/>
      <c r="BB51" s="184"/>
      <c r="BC51" s="184"/>
      <c r="BD51" s="184"/>
      <c r="BE51" s="184">
        <f>3773+54659</f>
        <v>58432</v>
      </c>
      <c r="BF51" s="184">
        <v>159</v>
      </c>
      <c r="BG51" s="184"/>
      <c r="BH51" s="184">
        <v>28902</v>
      </c>
      <c r="BI51" s="184"/>
      <c r="BJ51" s="184">
        <v>11379</v>
      </c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>
        <v>463</v>
      </c>
      <c r="BW51" s="184"/>
      <c r="BX51" s="184"/>
      <c r="BY51" s="184"/>
      <c r="BZ51" s="184"/>
      <c r="CA51" s="184">
        <v>4000</v>
      </c>
      <c r="CB51" s="184"/>
      <c r="CC51" s="184"/>
      <c r="CD51" s="195"/>
      <c r="CE51" s="195">
        <f>SUM(C51:CD51)</f>
        <v>1095351.44</v>
      </c>
    </row>
    <row r="52" spans="1:84" ht="12.65" customHeight="1" x14ac:dyDescent="0.35">
      <c r="A52" s="171" t="s">
        <v>208</v>
      </c>
      <c r="B52" s="184">
        <v>362688.13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27248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624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7748</v>
      </c>
      <c r="P52" s="195">
        <f>ROUND((B52/(CE76+CF76)*P76),0)</f>
        <v>17941</v>
      </c>
      <c r="Q52" s="195">
        <f>ROUND((B52/(CE76+CF76)*Q76),0)</f>
        <v>5319</v>
      </c>
      <c r="R52" s="195">
        <f>ROUND((B52/(CE76+CF76)*R76),0)</f>
        <v>0</v>
      </c>
      <c r="S52" s="195">
        <f>ROUND((B52/(CE76+CF76)*S76),0)</f>
        <v>7150</v>
      </c>
      <c r="T52" s="195">
        <f>ROUND((B52/(CE76+CF76)*T76),0)</f>
        <v>0</v>
      </c>
      <c r="U52" s="195">
        <f>ROUND((B52/(CE76+CF76)*U76),0)</f>
        <v>5328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24349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2583</v>
      </c>
      <c r="AC52" s="195">
        <f>ROUND((B52/(CE76+CF76)*AC76),0)</f>
        <v>1730</v>
      </c>
      <c r="AD52" s="195">
        <f>ROUND((B52/(CE76+CF76)*AD76),0)</f>
        <v>0</v>
      </c>
      <c r="AE52" s="195">
        <f>ROUND((B52/(CE76+CF76)*AE76),0)</f>
        <v>12930</v>
      </c>
      <c r="AF52" s="195">
        <f>ROUND((B52/(CE76+CF76)*AF76),0)</f>
        <v>0</v>
      </c>
      <c r="AG52" s="195">
        <f>ROUND((B52/(CE76+CF76)*AG76),0)</f>
        <v>15816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69082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9460</v>
      </c>
      <c r="AZ52" s="195">
        <f>ROUND((B52/(CE76+CF76)*AZ76),0)</f>
        <v>0</v>
      </c>
      <c r="BA52" s="195">
        <f>ROUND((B52/(CE76+CF76)*BA76),0)</f>
        <v>2222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1506</v>
      </c>
      <c r="BE52" s="195">
        <f>ROUND((B52/(CE76+CF76)*BE76),0)</f>
        <v>109286</v>
      </c>
      <c r="BF52" s="195">
        <f>ROUND((B52/(CE76+CF76)*BF76),0)</f>
        <v>1537</v>
      </c>
      <c r="BG52" s="195">
        <f>ROUND((B52/(CE76+CF76)*BG76),0)</f>
        <v>1282</v>
      </c>
      <c r="BH52" s="195">
        <f>ROUND((B52/(CE76+CF76)*BH76),0)</f>
        <v>2864</v>
      </c>
      <c r="BI52" s="195">
        <f>ROUND((B52/(CE76+CF76)*BI76),0)</f>
        <v>0</v>
      </c>
      <c r="BJ52" s="195">
        <f>ROUND((B52/(CE76+CF76)*BJ76),0)</f>
        <v>2701</v>
      </c>
      <c r="BK52" s="195">
        <f>ROUND((B52/(CE76+CF76)*BK76),0)</f>
        <v>7699</v>
      </c>
      <c r="BL52" s="195">
        <f>ROUND((B52/(CE76+CF76)*BL76),0)</f>
        <v>1107</v>
      </c>
      <c r="BM52" s="195">
        <f>ROUND((B52/(CE76+CF76)*BM76),0)</f>
        <v>0</v>
      </c>
      <c r="BN52" s="195">
        <f>ROUND((B52/(CE76+CF76)*BN76),0)</f>
        <v>3505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1419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6623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1164</v>
      </c>
      <c r="BZ52" s="195">
        <f>ROUND((B52/(CE76+CF76)*BZ76),0)</f>
        <v>0</v>
      </c>
      <c r="CA52" s="195">
        <f>ROUND((B52/(CE76+CF76)*CA76),0)</f>
        <v>12465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362688</v>
      </c>
    </row>
    <row r="53" spans="1:84" ht="12.65" customHeight="1" x14ac:dyDescent="0.35">
      <c r="A53" s="175" t="s">
        <v>206</v>
      </c>
      <c r="B53" s="195">
        <f>B51+B52</f>
        <v>1458039.13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5">
      <c r="A59" s="171" t="s">
        <v>233</v>
      </c>
      <c r="B59" s="175"/>
      <c r="C59" s="184"/>
      <c r="D59" s="184"/>
      <c r="E59" s="285">
        <v>1605</v>
      </c>
      <c r="F59" s="184"/>
      <c r="G59" s="184"/>
      <c r="H59" s="184"/>
      <c r="I59" s="184"/>
      <c r="J59" s="184">
        <v>365</v>
      </c>
      <c r="K59" s="184"/>
      <c r="L59" s="184"/>
      <c r="M59" s="184"/>
      <c r="N59" s="184"/>
      <c r="O59" s="184">
        <v>232</v>
      </c>
      <c r="P59" s="185">
        <v>113880</v>
      </c>
      <c r="Q59" s="185">
        <v>136488</v>
      </c>
      <c r="R59" s="185">
        <v>133609</v>
      </c>
      <c r="S59" s="247"/>
      <c r="T59" s="247"/>
      <c r="U59" s="224">
        <v>75093</v>
      </c>
      <c r="V59" s="185">
        <v>2167</v>
      </c>
      <c r="W59" s="185"/>
      <c r="X59" s="185"/>
      <c r="Y59" s="185">
        <v>15791</v>
      </c>
      <c r="Z59" s="185"/>
      <c r="AA59" s="185"/>
      <c r="AB59" s="247"/>
      <c r="AC59" s="185">
        <v>2518</v>
      </c>
      <c r="AD59" s="185"/>
      <c r="AE59" s="185">
        <v>17107</v>
      </c>
      <c r="AF59" s="185"/>
      <c r="AG59" s="185">
        <v>9438</v>
      </c>
      <c r="AH59" s="185"/>
      <c r="AI59" s="185"/>
      <c r="AJ59" s="185"/>
      <c r="AK59" s="185"/>
      <c r="AL59" s="185"/>
      <c r="AM59" s="185"/>
      <c r="AN59" s="185"/>
      <c r="AO59" s="185"/>
      <c r="AP59" s="185">
        <v>21309</v>
      </c>
      <c r="AQ59" s="185"/>
      <c r="AR59" s="185"/>
      <c r="AS59" s="185"/>
      <c r="AT59" s="185"/>
      <c r="AU59" s="185"/>
      <c r="AV59" s="247"/>
      <c r="AW59" s="247"/>
      <c r="AX59" s="247"/>
      <c r="AY59" s="185">
        <v>8303</v>
      </c>
      <c r="AZ59" s="185"/>
      <c r="BA59" s="247"/>
      <c r="BB59" s="247"/>
      <c r="BC59" s="247"/>
      <c r="BD59" s="247"/>
      <c r="BE59" s="185">
        <v>82579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5" customHeight="1" x14ac:dyDescent="0.35">
      <c r="A60" s="249" t="s">
        <v>234</v>
      </c>
      <c r="B60" s="175"/>
      <c r="C60" s="186"/>
      <c r="D60" s="187"/>
      <c r="E60" s="187">
        <v>29.84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6.48</v>
      </c>
      <c r="P60" s="221">
        <v>10.27</v>
      </c>
      <c r="Q60" s="221">
        <v>5.43</v>
      </c>
      <c r="R60" s="221"/>
      <c r="S60" s="221">
        <v>1.93</v>
      </c>
      <c r="T60" s="221"/>
      <c r="U60" s="221">
        <v>9.76</v>
      </c>
      <c r="V60" s="221"/>
      <c r="W60" s="221"/>
      <c r="X60" s="221"/>
      <c r="Y60" s="221">
        <v>10.78</v>
      </c>
      <c r="Z60" s="221"/>
      <c r="AA60" s="221"/>
      <c r="AB60" s="221">
        <v>2.09</v>
      </c>
      <c r="AC60" s="221">
        <v>3</v>
      </c>
      <c r="AD60" s="221"/>
      <c r="AE60" s="221">
        <v>7.47</v>
      </c>
      <c r="AF60" s="221"/>
      <c r="AG60" s="221">
        <v>22.06</v>
      </c>
      <c r="AH60" s="221"/>
      <c r="AI60" s="221"/>
      <c r="AJ60" s="221"/>
      <c r="AK60" s="221"/>
      <c r="AL60" s="221"/>
      <c r="AM60" s="221"/>
      <c r="AN60" s="221"/>
      <c r="AO60" s="221"/>
      <c r="AP60" s="221">
        <v>38.090000000000003</v>
      </c>
      <c r="AQ60" s="221"/>
      <c r="AR60" s="221"/>
      <c r="AS60" s="221"/>
      <c r="AT60" s="221"/>
      <c r="AU60" s="221"/>
      <c r="AV60" s="221"/>
      <c r="AW60" s="221"/>
      <c r="AX60" s="221"/>
      <c r="AY60" s="221">
        <v>7.05</v>
      </c>
      <c r="AZ60" s="221"/>
      <c r="BA60" s="221"/>
      <c r="BB60" s="221"/>
      <c r="BC60" s="221"/>
      <c r="BD60" s="221">
        <v>2.06</v>
      </c>
      <c r="BE60" s="221">
        <v>3.27</v>
      </c>
      <c r="BF60" s="221">
        <v>9.7799999999999994</v>
      </c>
      <c r="BG60" s="221">
        <v>0.51</v>
      </c>
      <c r="BH60" s="221">
        <v>4.01</v>
      </c>
      <c r="BI60" s="221"/>
      <c r="BJ60" s="221">
        <v>4.34</v>
      </c>
      <c r="BK60" s="221">
        <v>11.95</v>
      </c>
      <c r="BL60" s="221">
        <v>5.0999999999999996</v>
      </c>
      <c r="BM60" s="221"/>
      <c r="BN60" s="221">
        <v>3.89</v>
      </c>
      <c r="BO60" s="221">
        <v>0.3</v>
      </c>
      <c r="BP60" s="221"/>
      <c r="BQ60" s="221"/>
      <c r="BR60" s="221">
        <v>2.09</v>
      </c>
      <c r="BS60" s="221"/>
      <c r="BT60" s="221"/>
      <c r="BU60" s="221"/>
      <c r="BV60" s="221">
        <v>8.9</v>
      </c>
      <c r="BW60" s="221"/>
      <c r="BX60" s="221">
        <v>1.0900000000000001</v>
      </c>
      <c r="BY60" s="221">
        <v>2.33</v>
      </c>
      <c r="BZ60" s="221"/>
      <c r="CA60" s="221">
        <v>0.37</v>
      </c>
      <c r="CB60" s="221"/>
      <c r="CC60" s="221">
        <v>0.11</v>
      </c>
      <c r="CD60" s="248" t="s">
        <v>221</v>
      </c>
      <c r="CE60" s="250">
        <f t="shared" ref="CE60:CE70" si="0">SUM(C60:CD60)</f>
        <v>214.35000000000002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v>2318351</v>
      </c>
      <c r="F61" s="185"/>
      <c r="G61" s="184"/>
      <c r="H61" s="184"/>
      <c r="I61" s="185"/>
      <c r="J61" s="185"/>
      <c r="K61" s="185"/>
      <c r="L61" s="185"/>
      <c r="M61" s="184"/>
      <c r="N61" s="184"/>
      <c r="O61" s="184">
        <v>552926.48</v>
      </c>
      <c r="P61" s="185">
        <v>808524.35</v>
      </c>
      <c r="Q61" s="185">
        <v>532574.59</v>
      </c>
      <c r="R61" s="185">
        <v>0</v>
      </c>
      <c r="S61" s="185">
        <v>56331.6</v>
      </c>
      <c r="T61" s="185"/>
      <c r="U61" s="185">
        <v>602568.27</v>
      </c>
      <c r="V61" s="185"/>
      <c r="W61" s="185"/>
      <c r="X61" s="185"/>
      <c r="Y61" s="185">
        <v>789993.06</v>
      </c>
      <c r="Z61" s="185"/>
      <c r="AA61" s="185"/>
      <c r="AB61" s="185">
        <v>189074.85</v>
      </c>
      <c r="AC61" s="185">
        <v>239174.92</v>
      </c>
      <c r="AD61" s="185"/>
      <c r="AE61" s="185">
        <v>530338.91</v>
      </c>
      <c r="AF61" s="185"/>
      <c r="AG61" s="185">
        <v>1535511.82</v>
      </c>
      <c r="AH61" s="185"/>
      <c r="AI61" s="185"/>
      <c r="AJ61" s="185"/>
      <c r="AK61" s="185"/>
      <c r="AL61" s="185"/>
      <c r="AM61" s="185"/>
      <c r="AN61" s="185"/>
      <c r="AO61" s="185"/>
      <c r="AP61" s="185">
        <v>4463010.9400000004</v>
      </c>
      <c r="AQ61" s="185"/>
      <c r="AR61" s="185"/>
      <c r="AS61" s="185"/>
      <c r="AT61" s="185"/>
      <c r="AU61" s="185"/>
      <c r="AV61" s="185"/>
      <c r="AW61" s="185"/>
      <c r="AX61" s="185"/>
      <c r="AY61" s="185">
        <v>272253.59000000003</v>
      </c>
      <c r="AZ61" s="185"/>
      <c r="BA61" s="185"/>
      <c r="BB61" s="185"/>
      <c r="BC61" s="185"/>
      <c r="BD61" s="185">
        <v>111463.59</v>
      </c>
      <c r="BE61" s="185">
        <v>200854.66</v>
      </c>
      <c r="BF61" s="185">
        <v>327864.02</v>
      </c>
      <c r="BG61" s="185">
        <v>30477.74</v>
      </c>
      <c r="BH61" s="185">
        <v>280530.26</v>
      </c>
      <c r="BI61" s="185"/>
      <c r="BJ61" s="185">
        <v>402212.38</v>
      </c>
      <c r="BK61" s="185">
        <v>449175.39</v>
      </c>
      <c r="BL61" s="185">
        <v>181771.61</v>
      </c>
      <c r="BM61" s="185"/>
      <c r="BN61" s="185">
        <v>542285.73</v>
      </c>
      <c r="BO61" s="185">
        <v>42862.61</v>
      </c>
      <c r="BP61" s="185"/>
      <c r="BQ61" s="185"/>
      <c r="BR61" s="185">
        <v>184724.29</v>
      </c>
      <c r="BS61" s="185"/>
      <c r="BT61" s="185"/>
      <c r="BU61" s="185"/>
      <c r="BV61" s="185">
        <v>414729.09</v>
      </c>
      <c r="BW61" s="185"/>
      <c r="BX61" s="185">
        <v>77226.5</v>
      </c>
      <c r="BY61" s="185">
        <v>246192.23</v>
      </c>
      <c r="BZ61" s="185"/>
      <c r="CA61" s="185">
        <v>30844</v>
      </c>
      <c r="CB61" s="185"/>
      <c r="CC61" s="185">
        <v>28781.71</v>
      </c>
      <c r="CD61" s="248" t="s">
        <v>221</v>
      </c>
      <c r="CE61" s="195">
        <f t="shared" si="0"/>
        <v>16442630.189999999</v>
      </c>
      <c r="CF61" s="251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618368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189318</v>
      </c>
      <c r="P62" s="195">
        <f t="shared" si="1"/>
        <v>223053</v>
      </c>
      <c r="Q62" s="195">
        <f t="shared" si="1"/>
        <v>110839</v>
      </c>
      <c r="R62" s="195">
        <f t="shared" si="1"/>
        <v>0</v>
      </c>
      <c r="S62" s="195">
        <f t="shared" si="1"/>
        <v>28977</v>
      </c>
      <c r="T62" s="195">
        <f t="shared" si="1"/>
        <v>0</v>
      </c>
      <c r="U62" s="195">
        <f t="shared" si="1"/>
        <v>157773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193772</v>
      </c>
      <c r="Z62" s="195">
        <f t="shared" si="1"/>
        <v>0</v>
      </c>
      <c r="AA62" s="195">
        <f t="shared" si="1"/>
        <v>0</v>
      </c>
      <c r="AB62" s="195">
        <f t="shared" si="1"/>
        <v>43738</v>
      </c>
      <c r="AC62" s="195">
        <f t="shared" si="1"/>
        <v>59300</v>
      </c>
      <c r="AD62" s="195">
        <f t="shared" si="1"/>
        <v>0</v>
      </c>
      <c r="AE62" s="195">
        <f t="shared" si="1"/>
        <v>149034</v>
      </c>
      <c r="AF62" s="195">
        <f t="shared" si="1"/>
        <v>0</v>
      </c>
      <c r="AG62" s="195">
        <f t="shared" si="1"/>
        <v>399374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818107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102735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35321</v>
      </c>
      <c r="BE62" s="195">
        <f t="shared" si="1"/>
        <v>55907</v>
      </c>
      <c r="BF62" s="195">
        <f t="shared" si="1"/>
        <v>131208</v>
      </c>
      <c r="BG62" s="195">
        <f t="shared" si="1"/>
        <v>15572</v>
      </c>
      <c r="BH62" s="195">
        <f t="shared" si="1"/>
        <v>75730</v>
      </c>
      <c r="BI62" s="195">
        <f t="shared" si="1"/>
        <v>0</v>
      </c>
      <c r="BJ62" s="195">
        <f t="shared" si="1"/>
        <v>88814</v>
      </c>
      <c r="BK62" s="195">
        <f t="shared" si="1"/>
        <v>178905</v>
      </c>
      <c r="BL62" s="195">
        <f t="shared" si="1"/>
        <v>130776</v>
      </c>
      <c r="BM62" s="195">
        <f t="shared" si="1"/>
        <v>0</v>
      </c>
      <c r="BN62" s="195">
        <f t="shared" si="1"/>
        <v>103716</v>
      </c>
      <c r="BO62" s="195">
        <f t="shared" ref="BO62:CC62" si="2">ROUND(BO47+BO48,0)</f>
        <v>195</v>
      </c>
      <c r="BP62" s="195">
        <f t="shared" si="2"/>
        <v>0</v>
      </c>
      <c r="BQ62" s="195">
        <f t="shared" si="2"/>
        <v>0</v>
      </c>
      <c r="BR62" s="195">
        <f t="shared" si="2"/>
        <v>43769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129925</v>
      </c>
      <c r="BW62" s="195">
        <f t="shared" si="2"/>
        <v>0</v>
      </c>
      <c r="BX62" s="195">
        <f t="shared" si="2"/>
        <v>20547</v>
      </c>
      <c r="BY62" s="195">
        <f t="shared" si="2"/>
        <v>74409</v>
      </c>
      <c r="BZ62" s="195">
        <f t="shared" si="2"/>
        <v>0</v>
      </c>
      <c r="CA62" s="195">
        <f t="shared" si="2"/>
        <v>641</v>
      </c>
      <c r="CB62" s="195">
        <f t="shared" si="2"/>
        <v>0</v>
      </c>
      <c r="CC62" s="195">
        <f t="shared" si="2"/>
        <v>2501</v>
      </c>
      <c r="CD62" s="248" t="s">
        <v>221</v>
      </c>
      <c r="CE62" s="195">
        <f t="shared" si="0"/>
        <v>4182324</v>
      </c>
      <c r="CF62" s="251"/>
    </row>
    <row r="63" spans="1:84" ht="12.65" customHeight="1" x14ac:dyDescent="0.35">
      <c r="A63" s="171" t="s">
        <v>236</v>
      </c>
      <c r="B63" s="175"/>
      <c r="C63" s="184"/>
      <c r="D63" s="184"/>
      <c r="E63" s="184">
        <v>110330.87</v>
      </c>
      <c r="F63" s="185"/>
      <c r="G63" s="184"/>
      <c r="H63" s="184"/>
      <c r="I63" s="185"/>
      <c r="J63" s="185"/>
      <c r="K63" s="185"/>
      <c r="L63" s="185"/>
      <c r="M63" s="184"/>
      <c r="N63" s="184"/>
      <c r="O63" s="184">
        <v>541934.85</v>
      </c>
      <c r="P63" s="185">
        <v>1091.56</v>
      </c>
      <c r="Q63" s="185">
        <v>0</v>
      </c>
      <c r="R63" s="185">
        <v>840952.05</v>
      </c>
      <c r="S63" s="185">
        <v>0</v>
      </c>
      <c r="T63" s="185"/>
      <c r="U63" s="185">
        <v>9000</v>
      </c>
      <c r="V63" s="185"/>
      <c r="W63" s="185"/>
      <c r="X63" s="185"/>
      <c r="Y63" s="185">
        <v>825519.25</v>
      </c>
      <c r="Z63" s="185"/>
      <c r="AA63" s="185"/>
      <c r="AB63" s="185">
        <v>94137.67</v>
      </c>
      <c r="AC63" s="185">
        <v>0</v>
      </c>
      <c r="AD63" s="185"/>
      <c r="AE63" s="185">
        <v>2677.5</v>
      </c>
      <c r="AF63" s="185"/>
      <c r="AG63" s="185">
        <v>1824190.62</v>
      </c>
      <c r="AH63" s="185"/>
      <c r="AI63" s="185"/>
      <c r="AJ63" s="185"/>
      <c r="AK63" s="185"/>
      <c r="AL63" s="185"/>
      <c r="AM63" s="185"/>
      <c r="AN63" s="185"/>
      <c r="AO63" s="185"/>
      <c r="AP63" s="185">
        <v>7254.55</v>
      </c>
      <c r="AQ63" s="185"/>
      <c r="AR63" s="185"/>
      <c r="AS63" s="185"/>
      <c r="AT63" s="185"/>
      <c r="AU63" s="185"/>
      <c r="AV63" s="185"/>
      <c r="AW63" s="185"/>
      <c r="AX63" s="185"/>
      <c r="AY63" s="185">
        <v>0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77272.350000000006</v>
      </c>
      <c r="BK63" s="185">
        <v>78944.75</v>
      </c>
      <c r="BL63" s="185"/>
      <c r="BM63" s="185"/>
      <c r="BN63" s="185">
        <v>42693.5</v>
      </c>
      <c r="BO63" s="185"/>
      <c r="BP63" s="185"/>
      <c r="BQ63" s="185"/>
      <c r="BR63" s="185">
        <v>64466.19</v>
      </c>
      <c r="BS63" s="185"/>
      <c r="BT63" s="185"/>
      <c r="BU63" s="185"/>
      <c r="BV63" s="185"/>
      <c r="BW63" s="185"/>
      <c r="BX63" s="185"/>
      <c r="BY63" s="185"/>
      <c r="BZ63" s="185"/>
      <c r="CA63" s="185">
        <v>6169.7</v>
      </c>
      <c r="CB63" s="185"/>
      <c r="CC63" s="185"/>
      <c r="CD63" s="248" t="s">
        <v>221</v>
      </c>
      <c r="CE63" s="195">
        <f t="shared" si="0"/>
        <v>4526635.41</v>
      </c>
      <c r="CF63" s="251"/>
    </row>
    <row r="64" spans="1:84" ht="12.65" customHeight="1" x14ac:dyDescent="0.35">
      <c r="A64" s="171" t="s">
        <v>237</v>
      </c>
      <c r="B64" s="175"/>
      <c r="C64" s="184"/>
      <c r="D64" s="184"/>
      <c r="E64" s="185">
        <v>78615</v>
      </c>
      <c r="F64" s="185"/>
      <c r="G64" s="184"/>
      <c r="H64" s="184"/>
      <c r="I64" s="185"/>
      <c r="J64" s="185"/>
      <c r="K64" s="185"/>
      <c r="L64" s="185"/>
      <c r="M64" s="184"/>
      <c r="N64" s="184"/>
      <c r="O64" s="184">
        <v>50321.599999999999</v>
      </c>
      <c r="P64" s="185">
        <v>310693.76000000001</v>
      </c>
      <c r="Q64" s="185">
        <v>14785.33</v>
      </c>
      <c r="R64" s="185">
        <v>8234.01</v>
      </c>
      <c r="S64" s="185">
        <f>2147704.37-1479.42</f>
        <v>2146224.9500000002</v>
      </c>
      <c r="T64" s="185"/>
      <c r="U64" s="185">
        <f>656444.77+81859.45</f>
        <v>738304.22</v>
      </c>
      <c r="V64" s="185"/>
      <c r="W64" s="185"/>
      <c r="X64" s="185"/>
      <c r="Y64" s="185">
        <v>304672.92</v>
      </c>
      <c r="Z64" s="185"/>
      <c r="AA64" s="185"/>
      <c r="AB64" s="185">
        <f>433523.34+99018.63</f>
        <v>532541.97</v>
      </c>
      <c r="AC64" s="185">
        <v>35158.94</v>
      </c>
      <c r="AD64" s="185"/>
      <c r="AE64" s="185">
        <v>17174.18</v>
      </c>
      <c r="AF64" s="185"/>
      <c r="AG64" s="185">
        <v>103085.75</v>
      </c>
      <c r="AH64" s="185"/>
      <c r="AI64" s="185"/>
      <c r="AJ64" s="185"/>
      <c r="AK64" s="185"/>
      <c r="AL64" s="185"/>
      <c r="AM64" s="185"/>
      <c r="AN64" s="185"/>
      <c r="AO64" s="185"/>
      <c r="AP64" s="185">
        <v>217223.72</v>
      </c>
      <c r="AQ64" s="185"/>
      <c r="AR64" s="185"/>
      <c r="AS64" s="185"/>
      <c r="AT64" s="185"/>
      <c r="AU64" s="185"/>
      <c r="AV64" s="185"/>
      <c r="AW64" s="185"/>
      <c r="AX64" s="185"/>
      <c r="AY64" s="185">
        <v>185501.76</v>
      </c>
      <c r="AZ64" s="185"/>
      <c r="BA64" s="185">
        <v>3</v>
      </c>
      <c r="BB64" s="185"/>
      <c r="BC64" s="185"/>
      <c r="BD64" s="185">
        <v>1130.96</v>
      </c>
      <c r="BE64" s="185">
        <f>39971.77+5490.85</f>
        <v>45462.619999999995</v>
      </c>
      <c r="BF64" s="185">
        <v>28979.65</v>
      </c>
      <c r="BG64" s="185"/>
      <c r="BH64" s="185">
        <v>50885.81</v>
      </c>
      <c r="BI64" s="185"/>
      <c r="BJ64" s="185">
        <v>21600.7</v>
      </c>
      <c r="BK64" s="185">
        <v>47990.47</v>
      </c>
      <c r="BL64" s="185">
        <v>8565.3700000000008</v>
      </c>
      <c r="BM64" s="185"/>
      <c r="BN64" s="185">
        <v>5984.76</v>
      </c>
      <c r="BO64" s="185"/>
      <c r="BP64" s="185"/>
      <c r="BQ64" s="185"/>
      <c r="BR64" s="185">
        <v>1411.21</v>
      </c>
      <c r="BS64" s="185"/>
      <c r="BT64" s="185"/>
      <c r="BU64" s="185"/>
      <c r="BV64" s="185">
        <v>4086.66</v>
      </c>
      <c r="BW64" s="185"/>
      <c r="BX64" s="185"/>
      <c r="BY64" s="185">
        <v>1201.75</v>
      </c>
      <c r="BZ64" s="185"/>
      <c r="CA64" s="185">
        <v>15199.9</v>
      </c>
      <c r="CB64" s="185"/>
      <c r="CC64" s="185"/>
      <c r="CD64" s="248" t="s">
        <v>221</v>
      </c>
      <c r="CE64" s="195">
        <f t="shared" si="0"/>
        <v>4975040.97</v>
      </c>
      <c r="CF64" s="251"/>
    </row>
    <row r="65" spans="1:84" ht="12.65" customHeight="1" x14ac:dyDescent="0.35">
      <c r="A65" s="171" t="s">
        <v>238</v>
      </c>
      <c r="B65" s="175"/>
      <c r="C65" s="184"/>
      <c r="D65" s="184"/>
      <c r="E65" s="184">
        <v>0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>
        <v>0</v>
      </c>
      <c r="Q65" s="185">
        <v>0</v>
      </c>
      <c r="R65" s="185">
        <v>0</v>
      </c>
      <c r="S65" s="185">
        <v>0</v>
      </c>
      <c r="T65" s="185"/>
      <c r="U65" s="185">
        <v>0</v>
      </c>
      <c r="V65" s="185"/>
      <c r="W65" s="185"/>
      <c r="X65" s="185"/>
      <c r="Y65" s="185"/>
      <c r="Z65" s="185"/>
      <c r="AA65" s="185"/>
      <c r="AB65" s="185"/>
      <c r="AC65" s="185"/>
      <c r="AD65" s="185"/>
      <c r="AE65" s="185">
        <v>0</v>
      </c>
      <c r="AF65" s="185"/>
      <c r="AG65" s="185">
        <v>0</v>
      </c>
      <c r="AH65" s="185"/>
      <c r="AI65" s="185"/>
      <c r="AJ65" s="185"/>
      <c r="AK65" s="185"/>
      <c r="AL65" s="185"/>
      <c r="AM65" s="185"/>
      <c r="AN65" s="185"/>
      <c r="AO65" s="185"/>
      <c r="AP65" s="185">
        <v>44538</v>
      </c>
      <c r="AQ65" s="185"/>
      <c r="AR65" s="185"/>
      <c r="AS65" s="185"/>
      <c r="AT65" s="185"/>
      <c r="AU65" s="185"/>
      <c r="AV65" s="185"/>
      <c r="AW65" s="185"/>
      <c r="AX65" s="185"/>
      <c r="AY65" s="185">
        <v>0</v>
      </c>
      <c r="AZ65" s="185"/>
      <c r="BA65" s="185"/>
      <c r="BB65" s="185"/>
      <c r="BC65" s="185"/>
      <c r="BD65" s="185"/>
      <c r="BE65" s="185">
        <f>297445.12+40192.53</f>
        <v>337637.65</v>
      </c>
      <c r="BF65" s="185"/>
      <c r="BG65" s="185">
        <v>78841.89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f t="shared" si="0"/>
        <v>461017.54000000004</v>
      </c>
      <c r="CF65" s="251"/>
    </row>
    <row r="66" spans="1:84" ht="12.65" customHeight="1" x14ac:dyDescent="0.35">
      <c r="A66" s="171" t="s">
        <v>239</v>
      </c>
      <c r="B66" s="175"/>
      <c r="C66" s="184"/>
      <c r="D66" s="184"/>
      <c r="E66" s="184">
        <v>184382.93</v>
      </c>
      <c r="F66" s="184"/>
      <c r="G66" s="184"/>
      <c r="H66" s="184"/>
      <c r="I66" s="184"/>
      <c r="J66" s="184"/>
      <c r="K66" s="185"/>
      <c r="L66" s="185"/>
      <c r="M66" s="184"/>
      <c r="N66" s="184"/>
      <c r="O66" s="185">
        <v>23246.79</v>
      </c>
      <c r="P66" s="185">
        <v>106204.54</v>
      </c>
      <c r="Q66" s="185">
        <v>5274.3</v>
      </c>
      <c r="R66" s="185">
        <v>3515.39</v>
      </c>
      <c r="S66" s="184">
        <v>18516.349999999999</v>
      </c>
      <c r="T66" s="184"/>
      <c r="U66" s="185">
        <v>142097</v>
      </c>
      <c r="V66" s="185"/>
      <c r="W66" s="185"/>
      <c r="X66" s="185"/>
      <c r="Y66" s="185">
        <v>352488.36</v>
      </c>
      <c r="Z66" s="185"/>
      <c r="AA66" s="185"/>
      <c r="AB66" s="185">
        <v>15321.02</v>
      </c>
      <c r="AC66" s="185">
        <v>6899.94</v>
      </c>
      <c r="AD66" s="185"/>
      <c r="AE66" s="185">
        <v>30399.03</v>
      </c>
      <c r="AF66" s="185"/>
      <c r="AG66" s="185">
        <v>142899.23000000001</v>
      </c>
      <c r="AH66" s="185"/>
      <c r="AI66" s="185"/>
      <c r="AJ66" s="185"/>
      <c r="AK66" s="185"/>
      <c r="AL66" s="185"/>
      <c r="AM66" s="185"/>
      <c r="AN66" s="185"/>
      <c r="AO66" s="185"/>
      <c r="AP66" s="185">
        <v>226264.97</v>
      </c>
      <c r="AQ66" s="185"/>
      <c r="AR66" s="185"/>
      <c r="AS66" s="185"/>
      <c r="AT66" s="185"/>
      <c r="AU66" s="185"/>
      <c r="AV66" s="185"/>
      <c r="AW66" s="185"/>
      <c r="AX66" s="185"/>
      <c r="AY66" s="185">
        <v>8156.42</v>
      </c>
      <c r="AZ66" s="185"/>
      <c r="BA66" s="185">
        <v>155883.10999999999</v>
      </c>
      <c r="BB66" s="185"/>
      <c r="BC66" s="185"/>
      <c r="BD66" s="185">
        <v>4682.68</v>
      </c>
      <c r="BE66" s="185">
        <f>81485.85+1044.15+23154.34</f>
        <v>105684.34</v>
      </c>
      <c r="BF66" s="185">
        <v>3657.08</v>
      </c>
      <c r="BG66" s="185">
        <v>8479.26</v>
      </c>
      <c r="BH66" s="185">
        <v>739212.1</v>
      </c>
      <c r="BI66" s="185"/>
      <c r="BJ66" s="185">
        <v>25369.360000000001</v>
      </c>
      <c r="BK66" s="185">
        <v>258890.43</v>
      </c>
      <c r="BL66" s="185">
        <v>6596.46</v>
      </c>
      <c r="BM66" s="185"/>
      <c r="BN66" s="185">
        <v>93445.25</v>
      </c>
      <c r="BO66" s="185"/>
      <c r="BP66" s="185"/>
      <c r="BQ66" s="185"/>
      <c r="BR66" s="185">
        <v>7127.99</v>
      </c>
      <c r="BS66" s="185"/>
      <c r="BT66" s="185"/>
      <c r="BU66" s="185"/>
      <c r="BV66" s="185">
        <v>100697.81</v>
      </c>
      <c r="BW66" s="185"/>
      <c r="BX66" s="185"/>
      <c r="BY66" s="185">
        <v>0</v>
      </c>
      <c r="BZ66" s="185"/>
      <c r="CA66" s="185">
        <v>49499.72</v>
      </c>
      <c r="CB66" s="185"/>
      <c r="CC66" s="185"/>
      <c r="CD66" s="248" t="s">
        <v>221</v>
      </c>
      <c r="CE66" s="195">
        <f t="shared" si="0"/>
        <v>2824891.8600000003</v>
      </c>
      <c r="CF66" s="251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63789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624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38278</v>
      </c>
      <c r="P67" s="195">
        <f t="shared" si="3"/>
        <v>291910</v>
      </c>
      <c r="Q67" s="195">
        <f t="shared" si="3"/>
        <v>17630</v>
      </c>
      <c r="R67" s="195">
        <f t="shared" si="3"/>
        <v>0</v>
      </c>
      <c r="S67" s="195">
        <f t="shared" si="3"/>
        <v>7905</v>
      </c>
      <c r="T67" s="195">
        <f t="shared" si="3"/>
        <v>0</v>
      </c>
      <c r="U67" s="195">
        <f t="shared" si="3"/>
        <v>32641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451657</v>
      </c>
      <c r="Z67" s="195">
        <f t="shared" si="3"/>
        <v>0</v>
      </c>
      <c r="AA67" s="195">
        <f t="shared" si="3"/>
        <v>0</v>
      </c>
      <c r="AB67" s="195">
        <f t="shared" si="3"/>
        <v>2583</v>
      </c>
      <c r="AC67" s="195">
        <f t="shared" si="3"/>
        <v>7626</v>
      </c>
      <c r="AD67" s="195">
        <f t="shared" si="3"/>
        <v>0</v>
      </c>
      <c r="AE67" s="195">
        <f t="shared" si="3"/>
        <v>12930</v>
      </c>
      <c r="AF67" s="195">
        <f t="shared" si="3"/>
        <v>0</v>
      </c>
      <c r="AG67" s="195">
        <f t="shared" si="3"/>
        <v>139858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115469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16424</v>
      </c>
      <c r="AZ67" s="195">
        <f>ROUND(AZ51+AZ52,0)</f>
        <v>0</v>
      </c>
      <c r="BA67" s="195">
        <f>ROUND(BA51+BA52,0)</f>
        <v>2222</v>
      </c>
      <c r="BB67" s="195">
        <f t="shared" si="3"/>
        <v>0</v>
      </c>
      <c r="BC67" s="195">
        <f t="shared" si="3"/>
        <v>0</v>
      </c>
      <c r="BD67" s="195">
        <f t="shared" si="3"/>
        <v>1506</v>
      </c>
      <c r="BE67" s="195">
        <f t="shared" si="3"/>
        <v>167718</v>
      </c>
      <c r="BF67" s="195">
        <f t="shared" si="3"/>
        <v>1696</v>
      </c>
      <c r="BG67" s="195">
        <f t="shared" si="3"/>
        <v>1282</v>
      </c>
      <c r="BH67" s="195">
        <f t="shared" si="3"/>
        <v>31766</v>
      </c>
      <c r="BI67" s="195">
        <f t="shared" si="3"/>
        <v>0</v>
      </c>
      <c r="BJ67" s="195">
        <f t="shared" si="3"/>
        <v>14080</v>
      </c>
      <c r="BK67" s="195">
        <f t="shared" si="3"/>
        <v>7699</v>
      </c>
      <c r="BL67" s="195">
        <f t="shared" si="3"/>
        <v>1107</v>
      </c>
      <c r="BM67" s="195">
        <f t="shared" si="3"/>
        <v>0</v>
      </c>
      <c r="BN67" s="195">
        <f t="shared" si="3"/>
        <v>3505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1419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7086</v>
      </c>
      <c r="BW67" s="195">
        <f t="shared" si="4"/>
        <v>0</v>
      </c>
      <c r="BX67" s="195">
        <f t="shared" si="4"/>
        <v>0</v>
      </c>
      <c r="BY67" s="195">
        <f t="shared" si="4"/>
        <v>1164</v>
      </c>
      <c r="BZ67" s="195">
        <f t="shared" si="4"/>
        <v>0</v>
      </c>
      <c r="CA67" s="195">
        <f t="shared" si="4"/>
        <v>16465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1458039</v>
      </c>
      <c r="CF67" s="251"/>
    </row>
    <row r="68" spans="1:84" ht="12.65" customHeight="1" x14ac:dyDescent="0.35">
      <c r="A68" s="171" t="s">
        <v>240</v>
      </c>
      <c r="B68" s="175"/>
      <c r="C68" s="184"/>
      <c r="D68" s="184"/>
      <c r="E68" s="184">
        <v>56361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>
        <v>7153.72</v>
      </c>
      <c r="P68" s="185">
        <v>5210.24</v>
      </c>
      <c r="Q68" s="185">
        <v>11710.68</v>
      </c>
      <c r="R68" s="185">
        <v>12269.88</v>
      </c>
      <c r="S68" s="185">
        <v>0</v>
      </c>
      <c r="T68" s="185"/>
      <c r="U68" s="185">
        <v>48916</v>
      </c>
      <c r="V68" s="185"/>
      <c r="W68" s="185"/>
      <c r="X68" s="185"/>
      <c r="Y68" s="185">
        <v>164179.6</v>
      </c>
      <c r="Z68" s="185"/>
      <c r="AA68" s="185"/>
      <c r="AB68" s="185">
        <v>4258.78</v>
      </c>
      <c r="AC68" s="185">
        <v>19550.349999999999</v>
      </c>
      <c r="AD68" s="185"/>
      <c r="AE68" s="185">
        <v>999.41</v>
      </c>
      <c r="AF68" s="185"/>
      <c r="AG68" s="185">
        <v>12870.62</v>
      </c>
      <c r="AH68" s="185"/>
      <c r="AI68" s="185"/>
      <c r="AJ68" s="185"/>
      <c r="AK68" s="185"/>
      <c r="AL68" s="185"/>
      <c r="AM68" s="185"/>
      <c r="AN68" s="185"/>
      <c r="AO68" s="185"/>
      <c r="AP68" s="185">
        <v>15536.33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65.63</v>
      </c>
      <c r="BF68" s="185"/>
      <c r="BG68" s="185">
        <v>2881.92</v>
      </c>
      <c r="BH68" s="185">
        <v>25627.23</v>
      </c>
      <c r="BI68" s="185"/>
      <c r="BJ68" s="185">
        <v>9995.91</v>
      </c>
      <c r="BK68" s="185">
        <v>17792.150000000001</v>
      </c>
      <c r="BL68" s="185">
        <v>1185.55</v>
      </c>
      <c r="BM68" s="185"/>
      <c r="BN68" s="185">
        <v>8049.46</v>
      </c>
      <c r="BO68" s="185"/>
      <c r="BP68" s="185"/>
      <c r="BQ68" s="185"/>
      <c r="BR68" s="185"/>
      <c r="BS68" s="185"/>
      <c r="BT68" s="185"/>
      <c r="BU68" s="185"/>
      <c r="BV68" s="185">
        <v>2014.72</v>
      </c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426629.17999999993</v>
      </c>
      <c r="CF68" s="251"/>
    </row>
    <row r="69" spans="1:84" ht="12.65" customHeight="1" x14ac:dyDescent="0.35">
      <c r="A69" s="171" t="s">
        <v>241</v>
      </c>
      <c r="B69" s="175"/>
      <c r="C69" s="184"/>
      <c r="D69" s="184"/>
      <c r="E69" s="185">
        <v>2141</v>
      </c>
      <c r="F69" s="185"/>
      <c r="G69" s="184"/>
      <c r="H69" s="184"/>
      <c r="I69" s="185"/>
      <c r="J69" s="185"/>
      <c r="K69" s="185"/>
      <c r="L69" s="185"/>
      <c r="M69" s="184"/>
      <c r="N69" s="184"/>
      <c r="O69" s="184">
        <v>2834.07</v>
      </c>
      <c r="P69" s="185">
        <v>2455.09</v>
      </c>
      <c r="Q69" s="185">
        <v>90</v>
      </c>
      <c r="R69" s="224">
        <v>0</v>
      </c>
      <c r="S69" s="185">
        <v>1792.56</v>
      </c>
      <c r="T69" s="184"/>
      <c r="U69" s="185">
        <v>11473.84</v>
      </c>
      <c r="V69" s="185"/>
      <c r="W69" s="184"/>
      <c r="X69" s="185"/>
      <c r="Y69" s="185">
        <v>13887</v>
      </c>
      <c r="Z69" s="185"/>
      <c r="AA69" s="185"/>
      <c r="AB69" s="185">
        <v>800.27</v>
      </c>
      <c r="AC69" s="185">
        <v>1998.37</v>
      </c>
      <c r="AD69" s="185"/>
      <c r="AE69" s="185">
        <v>5136.1000000000004</v>
      </c>
      <c r="AF69" s="185"/>
      <c r="AG69" s="185">
        <v>1418.27</v>
      </c>
      <c r="AH69" s="185"/>
      <c r="AI69" s="185"/>
      <c r="AJ69" s="185"/>
      <c r="AK69" s="185"/>
      <c r="AL69" s="185"/>
      <c r="AM69" s="185"/>
      <c r="AN69" s="185"/>
      <c r="AO69" s="184"/>
      <c r="AP69" s="185">
        <v>296183.87</v>
      </c>
      <c r="AQ69" s="184"/>
      <c r="AR69" s="184"/>
      <c r="AS69" s="184"/>
      <c r="AT69" s="184"/>
      <c r="AU69" s="185"/>
      <c r="AV69" s="185"/>
      <c r="AW69" s="185"/>
      <c r="AX69" s="185"/>
      <c r="AY69" s="185">
        <v>10526.91</v>
      </c>
      <c r="AZ69" s="185"/>
      <c r="BA69" s="185"/>
      <c r="BB69" s="185"/>
      <c r="BC69" s="185"/>
      <c r="BD69" s="185">
        <v>2208.7399999999998</v>
      </c>
      <c r="BE69" s="185">
        <v>897.14</v>
      </c>
      <c r="BF69" s="185">
        <v>2732</v>
      </c>
      <c r="BG69" s="185"/>
      <c r="BH69" s="224">
        <v>584.42999999999995</v>
      </c>
      <c r="BI69" s="185"/>
      <c r="BJ69" s="185">
        <v>12272.27</v>
      </c>
      <c r="BK69" s="185">
        <f>2369.25-2</f>
        <v>2367.25</v>
      </c>
      <c r="BL69" s="185"/>
      <c r="BM69" s="185"/>
      <c r="BN69" s="185">
        <v>80620.81</v>
      </c>
      <c r="BO69" s="185"/>
      <c r="BP69" s="185"/>
      <c r="BQ69" s="185"/>
      <c r="BR69" s="185">
        <v>64603.33</v>
      </c>
      <c r="BS69" s="185"/>
      <c r="BT69" s="185"/>
      <c r="BU69" s="185"/>
      <c r="BV69" s="185">
        <v>937.49</v>
      </c>
      <c r="BW69" s="185"/>
      <c r="BX69" s="185">
        <v>9712.44</v>
      </c>
      <c r="BY69" s="185">
        <v>2286.58</v>
      </c>
      <c r="BZ69" s="185"/>
      <c r="CA69" s="185">
        <v>230</v>
      </c>
      <c r="CB69" s="185"/>
      <c r="CC69" s="185">
        <v>5719.95</v>
      </c>
      <c r="CD69" s="188">
        <v>501742.72</v>
      </c>
      <c r="CE69" s="195">
        <f t="shared" si="0"/>
        <v>1037652.4999999999</v>
      </c>
      <c r="CF69" s="251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>
        <v>0</v>
      </c>
      <c r="P70" s="184"/>
      <c r="Q70" s="184"/>
      <c r="R70" s="184"/>
      <c r="S70" s="184">
        <v>7179.43</v>
      </c>
      <c r="T70" s="184"/>
      <c r="U70" s="185"/>
      <c r="V70" s="184"/>
      <c r="W70" s="184"/>
      <c r="X70" s="185"/>
      <c r="Y70" s="185"/>
      <c r="Z70" s="185"/>
      <c r="AA70" s="185"/>
      <c r="AB70" s="185">
        <f>-3.08+343672.44</f>
        <v>343669.36</v>
      </c>
      <c r="AC70" s="185">
        <v>0</v>
      </c>
      <c r="AD70" s="185"/>
      <c r="AE70" s="185">
        <v>19506.689999999999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v>163255.56</v>
      </c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>
        <v>3090</v>
      </c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15792.65</v>
      </c>
      <c r="BW70" s="185"/>
      <c r="BX70" s="185"/>
      <c r="BY70" s="185"/>
      <c r="BZ70" s="185"/>
      <c r="CA70" s="185"/>
      <c r="CB70" s="185"/>
      <c r="CC70" s="185"/>
      <c r="CD70" s="188">
        <v>221591.67</v>
      </c>
      <c r="CE70" s="195">
        <f t="shared" si="0"/>
        <v>774085.3600000001</v>
      </c>
      <c r="CF70" s="251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3432338.8000000003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624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1406013.5100000002</v>
      </c>
      <c r="P71" s="195">
        <f t="shared" si="5"/>
        <v>1749142.54</v>
      </c>
      <c r="Q71" s="195">
        <f t="shared" si="5"/>
        <v>692903.9</v>
      </c>
      <c r="R71" s="195">
        <f t="shared" si="5"/>
        <v>864971.33000000007</v>
      </c>
      <c r="S71" s="195">
        <f t="shared" si="5"/>
        <v>2252568.0300000003</v>
      </c>
      <c r="T71" s="195">
        <f t="shared" si="5"/>
        <v>0</v>
      </c>
      <c r="U71" s="195">
        <f t="shared" si="5"/>
        <v>1742773.33</v>
      </c>
      <c r="V71" s="195">
        <f t="shared" si="5"/>
        <v>0</v>
      </c>
      <c r="W71" s="195">
        <f t="shared" si="5"/>
        <v>0</v>
      </c>
      <c r="X71" s="195">
        <f t="shared" si="5"/>
        <v>0</v>
      </c>
      <c r="Y71" s="195">
        <f t="shared" si="5"/>
        <v>3096169.19</v>
      </c>
      <c r="Z71" s="195">
        <f t="shared" si="5"/>
        <v>0</v>
      </c>
      <c r="AA71" s="195">
        <f t="shared" si="5"/>
        <v>0</v>
      </c>
      <c r="AB71" s="195">
        <f t="shared" si="5"/>
        <v>538786.20000000007</v>
      </c>
      <c r="AC71" s="195">
        <f t="shared" si="5"/>
        <v>369708.52</v>
      </c>
      <c r="AD71" s="195">
        <f t="shared" si="5"/>
        <v>0</v>
      </c>
      <c r="AE71" s="195">
        <f t="shared" si="5"/>
        <v>729182.44000000018</v>
      </c>
      <c r="AF71" s="195">
        <f t="shared" si="5"/>
        <v>0</v>
      </c>
      <c r="AG71" s="195">
        <f t="shared" si="5"/>
        <v>4159208.3100000005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6040332.8200000003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595597.68000000017</v>
      </c>
      <c r="AZ71" s="195">
        <f t="shared" si="6"/>
        <v>0</v>
      </c>
      <c r="BA71" s="195">
        <f t="shared" si="6"/>
        <v>158108.10999999999</v>
      </c>
      <c r="BB71" s="195">
        <f t="shared" si="6"/>
        <v>0</v>
      </c>
      <c r="BC71" s="195">
        <f t="shared" si="6"/>
        <v>0</v>
      </c>
      <c r="BD71" s="195">
        <f t="shared" si="6"/>
        <v>156312.96999999997</v>
      </c>
      <c r="BE71" s="195">
        <f t="shared" si="6"/>
        <v>914227.04</v>
      </c>
      <c r="BF71" s="195">
        <f t="shared" si="6"/>
        <v>496136.75000000006</v>
      </c>
      <c r="BG71" s="195">
        <f t="shared" si="6"/>
        <v>134444.81000000003</v>
      </c>
      <c r="BH71" s="195">
        <f t="shared" si="6"/>
        <v>1204335.8299999998</v>
      </c>
      <c r="BI71" s="195">
        <f t="shared" si="6"/>
        <v>0</v>
      </c>
      <c r="BJ71" s="195">
        <f t="shared" si="6"/>
        <v>651616.97</v>
      </c>
      <c r="BK71" s="195">
        <f t="shared" si="6"/>
        <v>1041764.4400000001</v>
      </c>
      <c r="BL71" s="195">
        <f t="shared" si="6"/>
        <v>330001.99</v>
      </c>
      <c r="BM71" s="195">
        <f t="shared" si="6"/>
        <v>0</v>
      </c>
      <c r="BN71" s="195">
        <f t="shared" si="6"/>
        <v>880300.51</v>
      </c>
      <c r="BO71" s="195">
        <f t="shared" si="6"/>
        <v>43057.61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367521.01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643684.12</v>
      </c>
      <c r="BW71" s="195">
        <f t="shared" si="7"/>
        <v>0</v>
      </c>
      <c r="BX71" s="195">
        <f t="shared" si="7"/>
        <v>107485.94</v>
      </c>
      <c r="BY71" s="195">
        <f t="shared" si="7"/>
        <v>325253.56</v>
      </c>
      <c r="BZ71" s="195">
        <f t="shared" si="7"/>
        <v>0</v>
      </c>
      <c r="CA71" s="195">
        <f t="shared" si="7"/>
        <v>119049.32</v>
      </c>
      <c r="CB71" s="195">
        <f t="shared" si="7"/>
        <v>0</v>
      </c>
      <c r="CC71" s="195">
        <f t="shared" si="7"/>
        <v>37002.659999999996</v>
      </c>
      <c r="CD71" s="244">
        <f>CD69-CD70</f>
        <v>280151.04999999993</v>
      </c>
      <c r="CE71" s="195">
        <f>SUM(CE61:CE69)-CE70</f>
        <v>35560775.289999999</v>
      </c>
      <c r="CF71" s="251"/>
    </row>
    <row r="72" spans="1:84" ht="12.65" customHeight="1" x14ac:dyDescent="0.3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1045047.69</v>
      </c>
      <c r="CF72" s="251"/>
    </row>
    <row r="73" spans="1:84" ht="12.65" customHeight="1" x14ac:dyDescent="0.35">
      <c r="A73" s="171" t="s">
        <v>245</v>
      </c>
      <c r="B73" s="175"/>
      <c r="C73" s="184"/>
      <c r="D73" s="184"/>
      <c r="E73" s="185">
        <f>2392710.98+57565+20338.03+200</f>
        <v>2470814.0099999998</v>
      </c>
      <c r="F73" s="185"/>
      <c r="G73" s="184"/>
      <c r="H73" s="184"/>
      <c r="I73" s="185"/>
      <c r="J73" s="185">
        <v>411352.75</v>
      </c>
      <c r="K73" s="185"/>
      <c r="L73" s="185"/>
      <c r="M73" s="184"/>
      <c r="N73" s="184"/>
      <c r="O73" s="184">
        <v>1275592.4099999999</v>
      </c>
      <c r="P73" s="185">
        <v>1193705.04</v>
      </c>
      <c r="Q73" s="185">
        <v>194936.12</v>
      </c>
      <c r="R73" s="185">
        <v>367046.2</v>
      </c>
      <c r="S73" s="185">
        <v>1637530.41</v>
      </c>
      <c r="T73" s="185"/>
      <c r="U73" s="185">
        <f>869942.18+107134.2</f>
        <v>977076.38</v>
      </c>
      <c r="V73" s="185"/>
      <c r="W73" s="185"/>
      <c r="X73" s="185"/>
      <c r="Y73" s="185">
        <f>623062.95+15521+93319+7441+8384+480</f>
        <v>748207.95</v>
      </c>
      <c r="Z73" s="185"/>
      <c r="AA73" s="185"/>
      <c r="AB73" s="185">
        <f>963270.67</f>
        <v>963270.67</v>
      </c>
      <c r="AC73" s="185">
        <v>295412.5</v>
      </c>
      <c r="AD73" s="185"/>
      <c r="AE73" s="185">
        <v>68608.5</v>
      </c>
      <c r="AF73" s="185"/>
      <c r="AG73" s="185">
        <v>422075.83</v>
      </c>
      <c r="AH73" s="185"/>
      <c r="AI73" s="185"/>
      <c r="AJ73" s="185"/>
      <c r="AK73" s="185"/>
      <c r="AL73" s="185"/>
      <c r="AM73" s="185"/>
      <c r="AN73" s="185"/>
      <c r="AO73" s="185"/>
      <c r="AP73" s="185">
        <v>1107594.23</v>
      </c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12133223</v>
      </c>
      <c r="CF73" s="251"/>
    </row>
    <row r="74" spans="1:84" ht="12.65" customHeight="1" x14ac:dyDescent="0.35">
      <c r="A74" s="171" t="s">
        <v>246</v>
      </c>
      <c r="B74" s="175"/>
      <c r="C74" s="184"/>
      <c r="D74" s="184"/>
      <c r="E74" s="185">
        <f>2062406.6+24660+226091.53+14446.55-107</f>
        <v>2327497.6799999997</v>
      </c>
      <c r="F74" s="185"/>
      <c r="G74" s="184"/>
      <c r="H74" s="184"/>
      <c r="I74" s="184"/>
      <c r="J74" s="185">
        <v>1045.5999999999999</v>
      </c>
      <c r="K74" s="185"/>
      <c r="L74" s="185"/>
      <c r="M74" s="184"/>
      <c r="N74" s="184"/>
      <c r="O74" s="184">
        <v>168093.77</v>
      </c>
      <c r="P74" s="185">
        <v>5219563.38</v>
      </c>
      <c r="Q74" s="185">
        <v>1802268.78</v>
      </c>
      <c r="R74" s="185">
        <v>1558571.4</v>
      </c>
      <c r="S74" s="185">
        <v>6010832.7999999998</v>
      </c>
      <c r="T74" s="185"/>
      <c r="U74" s="185">
        <f>5009122.42+241980.39</f>
        <v>5251102.8099999996</v>
      </c>
      <c r="V74" s="185"/>
      <c r="W74" s="185"/>
      <c r="X74" s="185"/>
      <c r="Y74" s="185">
        <f>13901184.12+681211+1876050.7+126676+152269.24+246021+5152+42566.76+32486.26</f>
        <v>17063617.080000002</v>
      </c>
      <c r="Z74" s="185"/>
      <c r="AA74" s="185"/>
      <c r="AB74" s="185">
        <v>2934558.79</v>
      </c>
      <c r="AC74" s="185">
        <v>685200.16</v>
      </c>
      <c r="AD74" s="185"/>
      <c r="AE74" s="185">
        <v>1995707.36</v>
      </c>
      <c r="AF74" s="185"/>
      <c r="AG74" s="185">
        <v>11029883.890000001</v>
      </c>
      <c r="AH74" s="185"/>
      <c r="AI74" s="185"/>
      <c r="AJ74" s="185"/>
      <c r="AK74" s="185"/>
      <c r="AL74" s="185"/>
      <c r="AM74" s="185"/>
      <c r="AN74" s="185"/>
      <c r="AO74" s="185"/>
      <c r="AP74" s="185">
        <v>7507921.21</v>
      </c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63555864.709999993</v>
      </c>
      <c r="CF74" s="251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4798311.6899999995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412398.35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1443686.18</v>
      </c>
      <c r="P75" s="195">
        <f t="shared" si="9"/>
        <v>6413268.4199999999</v>
      </c>
      <c r="Q75" s="195">
        <f t="shared" si="9"/>
        <v>1997204.9</v>
      </c>
      <c r="R75" s="195">
        <f t="shared" si="9"/>
        <v>1925617.5999999999</v>
      </c>
      <c r="S75" s="195">
        <f t="shared" si="9"/>
        <v>7648363.21</v>
      </c>
      <c r="T75" s="195">
        <f t="shared" si="9"/>
        <v>0</v>
      </c>
      <c r="U75" s="195">
        <f t="shared" si="9"/>
        <v>6228179.1899999995</v>
      </c>
      <c r="V75" s="195">
        <f t="shared" si="9"/>
        <v>0</v>
      </c>
      <c r="W75" s="195">
        <f t="shared" si="9"/>
        <v>0</v>
      </c>
      <c r="X75" s="195">
        <f t="shared" si="9"/>
        <v>0</v>
      </c>
      <c r="Y75" s="195">
        <f t="shared" si="9"/>
        <v>17811825.030000001</v>
      </c>
      <c r="Z75" s="195">
        <f t="shared" si="9"/>
        <v>0</v>
      </c>
      <c r="AA75" s="195">
        <f t="shared" si="9"/>
        <v>0</v>
      </c>
      <c r="AB75" s="195">
        <f t="shared" si="9"/>
        <v>3897829.46</v>
      </c>
      <c r="AC75" s="195">
        <f t="shared" si="9"/>
        <v>980612.66</v>
      </c>
      <c r="AD75" s="195">
        <f t="shared" si="9"/>
        <v>0</v>
      </c>
      <c r="AE75" s="195">
        <f t="shared" si="9"/>
        <v>2064315.86</v>
      </c>
      <c r="AF75" s="195">
        <f t="shared" si="9"/>
        <v>0</v>
      </c>
      <c r="AG75" s="195">
        <f t="shared" si="9"/>
        <v>11451959.720000001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8615515.4399999995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75689087.709999993</v>
      </c>
      <c r="CF75" s="251"/>
    </row>
    <row r="76" spans="1:84" ht="12.65" customHeight="1" x14ac:dyDescent="0.35">
      <c r="A76" s="171" t="s">
        <v>248</v>
      </c>
      <c r="B76" s="175"/>
      <c r="C76" s="184"/>
      <c r="D76" s="184"/>
      <c r="E76" s="185">
        <v>6204</v>
      </c>
      <c r="F76" s="185"/>
      <c r="G76" s="184"/>
      <c r="H76" s="184"/>
      <c r="I76" s="185"/>
      <c r="J76" s="185">
        <v>142</v>
      </c>
      <c r="K76" s="185"/>
      <c r="L76" s="185"/>
      <c r="M76" s="185"/>
      <c r="N76" s="185"/>
      <c r="O76" s="185">
        <v>1764</v>
      </c>
      <c r="P76" s="185">
        <v>4085</v>
      </c>
      <c r="Q76" s="185">
        <v>1211</v>
      </c>
      <c r="R76" s="185"/>
      <c r="S76" s="185">
        <v>1628</v>
      </c>
      <c r="T76" s="185"/>
      <c r="U76" s="185">
        <v>1213</v>
      </c>
      <c r="V76" s="185"/>
      <c r="W76" s="185"/>
      <c r="X76" s="185"/>
      <c r="Y76" s="185">
        <v>5544</v>
      </c>
      <c r="Z76" s="185"/>
      <c r="AA76" s="185"/>
      <c r="AB76" s="185">
        <v>588</v>
      </c>
      <c r="AC76" s="185">
        <v>394</v>
      </c>
      <c r="AD76" s="185"/>
      <c r="AE76" s="185">
        <v>2944</v>
      </c>
      <c r="AF76" s="185"/>
      <c r="AG76" s="185">
        <v>3601</v>
      </c>
      <c r="AH76" s="185"/>
      <c r="AI76" s="185"/>
      <c r="AJ76" s="185"/>
      <c r="AK76" s="185"/>
      <c r="AL76" s="185"/>
      <c r="AM76" s="185"/>
      <c r="AN76" s="185"/>
      <c r="AO76" s="185"/>
      <c r="AP76" s="185">
        <f>15629+100</f>
        <v>15729</v>
      </c>
      <c r="AQ76" s="185"/>
      <c r="AR76" s="185"/>
      <c r="AS76" s="185"/>
      <c r="AT76" s="185"/>
      <c r="AU76" s="185"/>
      <c r="AV76" s="185"/>
      <c r="AW76" s="185"/>
      <c r="AX76" s="185"/>
      <c r="AY76" s="185">
        <f>1849+305</f>
        <v>2154</v>
      </c>
      <c r="AZ76" s="185"/>
      <c r="BA76" s="185">
        <v>506</v>
      </c>
      <c r="BB76" s="185"/>
      <c r="BC76" s="185"/>
      <c r="BD76" s="185">
        <v>343</v>
      </c>
      <c r="BE76" s="185">
        <f>1822+8954+1689+12418</f>
        <v>24883</v>
      </c>
      <c r="BF76" s="185">
        <f>156+194</f>
        <v>350</v>
      </c>
      <c r="BG76" s="185">
        <v>292</v>
      </c>
      <c r="BH76" s="185">
        <f>436+216</f>
        <v>652</v>
      </c>
      <c r="BI76" s="185"/>
      <c r="BJ76" s="185">
        <f>138+477</f>
        <v>615</v>
      </c>
      <c r="BK76" s="185">
        <f>82+1671</f>
        <v>1753</v>
      </c>
      <c r="BL76" s="185">
        <v>252</v>
      </c>
      <c r="BM76" s="185"/>
      <c r="BN76" s="185">
        <v>798</v>
      </c>
      <c r="BO76" s="185"/>
      <c r="BP76" s="185"/>
      <c r="BQ76" s="185"/>
      <c r="BR76" s="185">
        <v>323</v>
      </c>
      <c r="BS76" s="185"/>
      <c r="BT76" s="185"/>
      <c r="BU76" s="185"/>
      <c r="BV76" s="185">
        <v>1508</v>
      </c>
      <c r="BW76" s="185"/>
      <c r="BX76" s="185"/>
      <c r="BY76" s="185">
        <f>148+117</f>
        <v>265</v>
      </c>
      <c r="BZ76" s="185"/>
      <c r="CA76" s="185">
        <f>31+2807</f>
        <v>2838</v>
      </c>
      <c r="CB76" s="185"/>
      <c r="CC76" s="185"/>
      <c r="CD76" s="248" t="s">
        <v>221</v>
      </c>
      <c r="CE76" s="195">
        <f t="shared" si="8"/>
        <v>82579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5895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2408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8303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v>4856.8999999999996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1031.26</v>
      </c>
      <c r="P78" s="184">
        <v>1419.37</v>
      </c>
      <c r="Q78" s="184">
        <v>859.38</v>
      </c>
      <c r="R78" s="184"/>
      <c r="S78" s="184">
        <v>177.42</v>
      </c>
      <c r="T78" s="184"/>
      <c r="U78" s="184">
        <v>731.86</v>
      </c>
      <c r="V78" s="184"/>
      <c r="W78" s="184"/>
      <c r="X78" s="184"/>
      <c r="Y78" s="184">
        <v>750.16</v>
      </c>
      <c r="Z78" s="184"/>
      <c r="AA78" s="184"/>
      <c r="AB78" s="184">
        <v>216.23</v>
      </c>
      <c r="AC78" s="184">
        <v>149.69999999999999</v>
      </c>
      <c r="AD78" s="184"/>
      <c r="AE78" s="184">
        <v>282.76</v>
      </c>
      <c r="AF78" s="184"/>
      <c r="AG78" s="184">
        <f>2877.55+2012.62</f>
        <v>4890.17</v>
      </c>
      <c r="AH78" s="184"/>
      <c r="AI78" s="184"/>
      <c r="AJ78" s="184"/>
      <c r="AK78" s="184"/>
      <c r="AL78" s="184"/>
      <c r="AM78" s="184"/>
      <c r="AN78" s="184"/>
      <c r="AO78" s="184"/>
      <c r="AP78" s="184">
        <v>1880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377.02</v>
      </c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17622.23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71162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7300</v>
      </c>
      <c r="P79" s="184">
        <v>39600</v>
      </c>
      <c r="Q79" s="184"/>
      <c r="R79" s="184"/>
      <c r="S79" s="184"/>
      <c r="T79" s="184"/>
      <c r="U79" s="184"/>
      <c r="V79" s="184"/>
      <c r="W79" s="184"/>
      <c r="X79" s="184"/>
      <c r="Y79" s="184">
        <v>1288</v>
      </c>
      <c r="Z79" s="184"/>
      <c r="AA79" s="184"/>
      <c r="AB79" s="184"/>
      <c r="AC79" s="184"/>
      <c r="AD79" s="184"/>
      <c r="AE79" s="184"/>
      <c r="AF79" s="184"/>
      <c r="AG79" s="184">
        <v>18394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137744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14.95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5.62</v>
      </c>
      <c r="P80" s="187">
        <v>3.73</v>
      </c>
      <c r="Q80" s="187">
        <v>4.72</v>
      </c>
      <c r="R80" s="187"/>
      <c r="S80" s="187"/>
      <c r="T80" s="187"/>
      <c r="U80" s="187"/>
      <c r="V80" s="187"/>
      <c r="W80" s="187"/>
      <c r="X80" s="187"/>
      <c r="Y80" s="187">
        <v>0.24</v>
      </c>
      <c r="Z80" s="187"/>
      <c r="AA80" s="187"/>
      <c r="AB80" s="187"/>
      <c r="AC80" s="187"/>
      <c r="AD80" s="187"/>
      <c r="AE80" s="187"/>
      <c r="AF80" s="187"/>
      <c r="AG80" s="187">
        <v>8.9600000000000009</v>
      </c>
      <c r="AH80" s="187"/>
      <c r="AI80" s="187"/>
      <c r="AJ80" s="187"/>
      <c r="AK80" s="187"/>
      <c r="AL80" s="187"/>
      <c r="AM80" s="187"/>
      <c r="AN80" s="187"/>
      <c r="AO80" s="187"/>
      <c r="AP80" s="187">
        <v>11.9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50.12</v>
      </c>
      <c r="CF80" s="254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1" t="s">
        <v>1266</v>
      </c>
      <c r="D82" s="255"/>
      <c r="E82" s="175"/>
    </row>
    <row r="83" spans="1:5" ht="12.65" customHeight="1" x14ac:dyDescent="0.35">
      <c r="A83" s="173" t="s">
        <v>255</v>
      </c>
      <c r="B83" s="172" t="s">
        <v>256</v>
      </c>
      <c r="C83" s="226" t="s">
        <v>1267</v>
      </c>
      <c r="D83" s="255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1268</v>
      </c>
      <c r="D84" s="205"/>
      <c r="E84" s="204"/>
    </row>
    <row r="85" spans="1:5" ht="12.65" customHeight="1" x14ac:dyDescent="0.35">
      <c r="A85" s="173" t="s">
        <v>1251</v>
      </c>
      <c r="B85" s="172"/>
      <c r="C85" s="270" t="s">
        <v>1269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0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69" t="s">
        <v>1276</v>
      </c>
      <c r="D92" s="255"/>
      <c r="E92" s="175"/>
    </row>
    <row r="93" spans="1:5" ht="12.65" customHeight="1" x14ac:dyDescent="0.35">
      <c r="A93" s="173" t="s">
        <v>264</v>
      </c>
      <c r="B93" s="172" t="s">
        <v>256</v>
      </c>
      <c r="C93" s="269" t="s">
        <v>1277</v>
      </c>
      <c r="D93" s="255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6" t="s">
        <v>266</v>
      </c>
      <c r="B96" s="256"/>
      <c r="C96" s="256"/>
      <c r="D96" s="256"/>
      <c r="E96" s="256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6" t="s">
        <v>269</v>
      </c>
      <c r="B100" s="256"/>
      <c r="C100" s="256"/>
      <c r="D100" s="256"/>
      <c r="E100" s="256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6" t="s">
        <v>271</v>
      </c>
      <c r="B103" s="256"/>
      <c r="C103" s="256"/>
      <c r="D103" s="256"/>
      <c r="E103" s="256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628</v>
      </c>
      <c r="D111" s="174">
        <v>1605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0</v>
      </c>
      <c r="D112" s="174">
        <v>0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232</v>
      </c>
      <c r="D114" s="174">
        <v>365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44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0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253</v>
      </c>
      <c r="C138" s="189">
        <v>227</v>
      </c>
      <c r="D138" s="174">
        <v>148</v>
      </c>
      <c r="E138" s="175">
        <f>SUM(B138:D138)</f>
        <v>628</v>
      </c>
    </row>
    <row r="139" spans="1:6" ht="12.65" customHeight="1" x14ac:dyDescent="0.35">
      <c r="A139" s="173" t="s">
        <v>215</v>
      </c>
      <c r="B139" s="174">
        <v>788</v>
      </c>
      <c r="C139" s="189">
        <v>500</v>
      </c>
      <c r="D139" s="174">
        <v>317</v>
      </c>
      <c r="E139" s="175">
        <f>SUM(B139:D139)</f>
        <v>1605</v>
      </c>
    </row>
    <row r="140" spans="1:6" ht="12.65" customHeight="1" x14ac:dyDescent="0.35">
      <c r="A140" s="173" t="s">
        <v>298</v>
      </c>
      <c r="B140" s="174">
        <v>10751</v>
      </c>
      <c r="C140" s="174">
        <v>9405</v>
      </c>
      <c r="D140" s="174">
        <v>9882</v>
      </c>
      <c r="E140" s="175">
        <f>SUM(B140:D140)</f>
        <v>30038</v>
      </c>
    </row>
    <row r="141" spans="1:6" ht="12.65" customHeight="1" x14ac:dyDescent="0.35">
      <c r="A141" s="173" t="s">
        <v>245</v>
      </c>
      <c r="B141" s="174">
        <f>3789049.22+771167.85+502835.32+166045.44</f>
        <v>5229097.830000001</v>
      </c>
      <c r="C141" s="189">
        <f>2549834.79+751660.74+563774.84+127074.93</f>
        <v>3992345.3000000003</v>
      </c>
      <c r="D141" s="174">
        <f>2429118.05+616116.22-133454.4</f>
        <v>2911779.8699999996</v>
      </c>
      <c r="E141" s="175">
        <f>SUM(B141:D141)</f>
        <v>12133223</v>
      </c>
      <c r="F141" s="199"/>
    </row>
    <row r="142" spans="1:6" ht="12.65" customHeight="1" x14ac:dyDescent="0.35">
      <c r="A142" s="173" t="s">
        <v>246</v>
      </c>
      <c r="B142" s="174">
        <f>16426596.22+3023708+3733330.92+530313.15</f>
        <v>23713948.289999999</v>
      </c>
      <c r="C142" s="174">
        <f>11744900.66+3045608.39+2769623.17+684858.13</f>
        <v>18244990.349999998</v>
      </c>
      <c r="D142" s="174">
        <f>16881122.28+4331072.8+384730</f>
        <v>21596925.080000002</v>
      </c>
      <c r="E142" s="175">
        <f>SUM(B142:D142)</f>
        <v>63555863.719999999</v>
      </c>
      <c r="F142" s="199"/>
    </row>
    <row r="143" spans="1:6" ht="12.65" customHeight="1" x14ac:dyDescent="0.3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5" customHeight="1" x14ac:dyDescent="0.3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8948027.3000000007</v>
      </c>
      <c r="C157" s="174">
        <v>3704934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6" t="s">
        <v>306</v>
      </c>
      <c r="B164" s="256"/>
      <c r="C164" s="256"/>
      <c r="D164" s="256"/>
      <c r="E164" s="256"/>
    </row>
    <row r="165" spans="1:5" ht="11.5" customHeight="1" x14ac:dyDescent="0.35">
      <c r="A165" s="173" t="s">
        <v>307</v>
      </c>
      <c r="B165" s="172" t="s">
        <v>256</v>
      </c>
      <c r="C165" s="189">
        <v>1108793.05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20201.12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316059.65000000002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2397308.09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38519.85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262557.8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f>22168.19</f>
        <v>22168.19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16716.77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4182324.52</v>
      </c>
      <c r="E173" s="175"/>
    </row>
    <row r="174" spans="1:5" ht="11.5" customHeight="1" x14ac:dyDescent="0.35">
      <c r="A174" s="256" t="s">
        <v>314</v>
      </c>
      <c r="B174" s="256"/>
      <c r="C174" s="256"/>
      <c r="D174" s="256"/>
      <c r="E174" s="256"/>
    </row>
    <row r="175" spans="1:5" ht="11.5" customHeight="1" x14ac:dyDescent="0.35">
      <c r="A175" s="173" t="s">
        <v>315</v>
      </c>
      <c r="B175" s="172" t="s">
        <v>256</v>
      </c>
      <c r="C175" s="189">
        <v>2600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f>426629.39-2600</f>
        <v>424029.39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426629.39</v>
      </c>
      <c r="E177" s="175"/>
    </row>
    <row r="178" spans="1:5" ht="11.5" customHeight="1" x14ac:dyDescent="0.35">
      <c r="A178" s="256" t="s">
        <v>317</v>
      </c>
      <c r="B178" s="256"/>
      <c r="C178" s="256"/>
      <c r="D178" s="256"/>
      <c r="E178" s="256"/>
    </row>
    <row r="179" spans="1:5" ht="11.5" customHeight="1" x14ac:dyDescent="0.35">
      <c r="A179" s="173" t="s">
        <v>318</v>
      </c>
      <c r="B179" s="172" t="s">
        <v>256</v>
      </c>
      <c r="C179" s="189">
        <f>473175.13-54687</f>
        <v>418488.13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f>2500+711+1911+49565.05</f>
        <v>54687.05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473175.18</v>
      </c>
      <c r="E181" s="175"/>
    </row>
    <row r="182" spans="1:5" ht="11.5" customHeight="1" x14ac:dyDescent="0.35">
      <c r="A182" s="256" t="s">
        <v>320</v>
      </c>
      <c r="B182" s="256"/>
      <c r="C182" s="256"/>
      <c r="D182" s="256"/>
      <c r="E182" s="256"/>
    </row>
    <row r="183" spans="1:5" ht="11.5" customHeight="1" x14ac:dyDescent="0.35">
      <c r="A183" s="173" t="s">
        <v>321</v>
      </c>
      <c r="B183" s="172" t="s">
        <v>256</v>
      </c>
      <c r="C183" s="189">
        <v>30734.42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f>-0.22+191770.91-7.5</f>
        <v>191763.19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222497.61</v>
      </c>
      <c r="E186" s="175"/>
    </row>
    <row r="187" spans="1:5" ht="11.5" customHeight="1" x14ac:dyDescent="0.35">
      <c r="A187" s="256" t="s">
        <v>323</v>
      </c>
      <c r="B187" s="256"/>
      <c r="C187" s="256"/>
      <c r="D187" s="256"/>
      <c r="E187" s="256"/>
    </row>
    <row r="188" spans="1:5" ht="11.5" customHeight="1" x14ac:dyDescent="0.35">
      <c r="A188" s="173" t="s">
        <v>324</v>
      </c>
      <c r="B188" s="172" t="s">
        <v>256</v>
      </c>
      <c r="C188" s="189">
        <v>290107.42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290107.42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146305.63</v>
      </c>
      <c r="C195" s="189"/>
      <c r="D195" s="174"/>
      <c r="E195" s="175">
        <f t="shared" ref="E195:E203" si="10">SUM(B195:C195)-D195</f>
        <v>146305.63</v>
      </c>
    </row>
    <row r="196" spans="1:8" ht="12.65" customHeight="1" x14ac:dyDescent="0.35">
      <c r="A196" s="173" t="s">
        <v>333</v>
      </c>
      <c r="B196" s="174">
        <v>1128015.8799999999</v>
      </c>
      <c r="C196" s="189"/>
      <c r="D196" s="174"/>
      <c r="E196" s="175">
        <f t="shared" si="10"/>
        <v>1128015.8799999999</v>
      </c>
    </row>
    <row r="197" spans="1:8" ht="12.65" customHeight="1" x14ac:dyDescent="0.35">
      <c r="A197" s="173" t="s">
        <v>334</v>
      </c>
      <c r="B197" s="174">
        <v>7901929</v>
      </c>
      <c r="C197" s="189"/>
      <c r="D197" s="174"/>
      <c r="E197" s="175">
        <f t="shared" si="10"/>
        <v>7901929</v>
      </c>
    </row>
    <row r="198" spans="1:8" ht="12.65" customHeight="1" x14ac:dyDescent="0.35">
      <c r="A198" s="173" t="s">
        <v>335</v>
      </c>
      <c r="B198" s="174">
        <v>5863312</v>
      </c>
      <c r="C198" s="189"/>
      <c r="D198" s="174">
        <v>3228</v>
      </c>
      <c r="E198" s="175">
        <f t="shared" si="10"/>
        <v>5860084</v>
      </c>
    </row>
    <row r="199" spans="1:8" ht="12.65" customHeight="1" x14ac:dyDescent="0.35">
      <c r="A199" s="173" t="s">
        <v>336</v>
      </c>
      <c r="B199" s="174">
        <v>324083.28000000003</v>
      </c>
      <c r="C199" s="189"/>
      <c r="D199" s="174">
        <v>34065.99</v>
      </c>
      <c r="E199" s="175">
        <f t="shared" si="10"/>
        <v>290017.29000000004</v>
      </c>
    </row>
    <row r="200" spans="1:8" ht="12.65" customHeight="1" x14ac:dyDescent="0.35">
      <c r="A200" s="173" t="s">
        <v>337</v>
      </c>
      <c r="B200" s="174">
        <v>8211260</v>
      </c>
      <c r="C200" s="189">
        <f>1061065.78+121199.46+1122554.23+1015127.13+6260.52</f>
        <v>3326207.1199999996</v>
      </c>
      <c r="D200" s="174">
        <v>656945.15</v>
      </c>
      <c r="E200" s="175">
        <f t="shared" si="10"/>
        <v>10880521.969999999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723716</v>
      </c>
      <c r="C203" s="189">
        <f>487141.06-20313.01</f>
        <v>466828.05</v>
      </c>
      <c r="D203" s="174">
        <v>1136326.53</v>
      </c>
      <c r="E203" s="175">
        <f t="shared" si="10"/>
        <v>54217.520000000019</v>
      </c>
    </row>
    <row r="204" spans="1:8" ht="12.65" customHeight="1" x14ac:dyDescent="0.35">
      <c r="A204" s="173" t="s">
        <v>203</v>
      </c>
      <c r="B204" s="175">
        <f>SUM(B195:B203)</f>
        <v>24298621.789999999</v>
      </c>
      <c r="C204" s="191">
        <f>SUM(C195:C203)</f>
        <v>3793035.1699999995</v>
      </c>
      <c r="D204" s="175">
        <f>SUM(D195:D203)</f>
        <v>1830565.67</v>
      </c>
      <c r="E204" s="175">
        <f>SUM(E195:E203)</f>
        <v>26261091.289999999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8"/>
    </row>
    <row r="209" spans="1:8" ht="12.65" customHeight="1" x14ac:dyDescent="0.35">
      <c r="A209" s="173" t="s">
        <v>333</v>
      </c>
      <c r="B209" s="174">
        <v>797965</v>
      </c>
      <c r="C209" s="189">
        <v>33037.94</v>
      </c>
      <c r="D209" s="174"/>
      <c r="E209" s="175">
        <f t="shared" ref="E209:E216" si="11">SUM(B209:C209)-D209</f>
        <v>831002.94</v>
      </c>
      <c r="H209" s="258"/>
    </row>
    <row r="210" spans="1:8" ht="12.65" customHeight="1" x14ac:dyDescent="0.35">
      <c r="A210" s="173" t="s">
        <v>334</v>
      </c>
      <c r="B210" s="174">
        <v>4287571.66</v>
      </c>
      <c r="C210" s="189">
        <v>295215.77</v>
      </c>
      <c r="D210" s="174"/>
      <c r="E210" s="175">
        <f t="shared" si="11"/>
        <v>4582787.43</v>
      </c>
      <c r="H210" s="258"/>
    </row>
    <row r="211" spans="1:8" ht="12.65" customHeight="1" x14ac:dyDescent="0.35">
      <c r="A211" s="173" t="s">
        <v>335</v>
      </c>
      <c r="B211" s="174">
        <v>2600420.0699999998</v>
      </c>
      <c r="C211" s="189">
        <f>291143.27+36</f>
        <v>291179.27</v>
      </c>
      <c r="D211" s="174">
        <v>3228</v>
      </c>
      <c r="E211" s="175">
        <f t="shared" si="11"/>
        <v>2888371.34</v>
      </c>
      <c r="H211" s="258"/>
    </row>
    <row r="212" spans="1:8" ht="12.65" customHeight="1" x14ac:dyDescent="0.35">
      <c r="A212" s="173" t="s">
        <v>336</v>
      </c>
      <c r="B212" s="174">
        <v>188665.17</v>
      </c>
      <c r="C212" s="189">
        <v>11282.29</v>
      </c>
      <c r="D212" s="174">
        <v>34065.99</v>
      </c>
      <c r="E212" s="175">
        <f t="shared" si="11"/>
        <v>165881.47000000003</v>
      </c>
      <c r="H212" s="258"/>
    </row>
    <row r="213" spans="1:8" ht="12.65" customHeight="1" x14ac:dyDescent="0.35">
      <c r="A213" s="173" t="s">
        <v>337</v>
      </c>
      <c r="B213" s="174">
        <v>6534181.2199999997</v>
      </c>
      <c r="C213" s="189">
        <f>633469.2+154084.76</f>
        <v>787553.96</v>
      </c>
      <c r="D213" s="174">
        <v>656945.15</v>
      </c>
      <c r="E213" s="175">
        <f t="shared" si="11"/>
        <v>6664790.0299999993</v>
      </c>
      <c r="H213" s="258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5" customHeight="1" x14ac:dyDescent="0.35">
      <c r="A217" s="173" t="s">
        <v>203</v>
      </c>
      <c r="B217" s="175">
        <f>SUM(B208:B216)</f>
        <v>14408803.120000001</v>
      </c>
      <c r="C217" s="191">
        <f>SUM(C208:C216)</f>
        <v>1418269.23</v>
      </c>
      <c r="D217" s="175">
        <f>SUM(D208:D216)</f>
        <v>694239.14</v>
      </c>
      <c r="E217" s="175">
        <f>SUM(E208:E216)</f>
        <v>15132833.209999999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7" t="s">
        <v>1255</v>
      </c>
      <c r="C220" s="297"/>
      <c r="D220" s="208"/>
      <c r="E220" s="208"/>
    </row>
    <row r="221" spans="1:8" ht="12.65" customHeight="1" x14ac:dyDescent="0.35">
      <c r="A221" s="271" t="s">
        <v>1255</v>
      </c>
      <c r="B221" s="208"/>
      <c r="C221" s="189">
        <v>1830160.86</v>
      </c>
      <c r="D221" s="172">
        <f>C221</f>
        <v>1830160.86</v>
      </c>
      <c r="E221" s="208"/>
    </row>
    <row r="222" spans="1:8" ht="12.65" customHeight="1" x14ac:dyDescent="0.35">
      <c r="A222" s="256" t="s">
        <v>343</v>
      </c>
      <c r="B222" s="256"/>
      <c r="C222" s="256"/>
      <c r="D222" s="256"/>
      <c r="E222" s="256"/>
    </row>
    <row r="223" spans="1:8" ht="12.65" customHeight="1" x14ac:dyDescent="0.35">
      <c r="A223" s="173" t="s">
        <v>344</v>
      </c>
      <c r="B223" s="172" t="s">
        <v>256</v>
      </c>
      <c r="C223" s="189">
        <f>12863183.5+3192193</f>
        <v>16055376.5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f>-573339+2041610+10072017.925</f>
        <v>11540288.925000001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f>877913.58+159442.79</f>
        <v>1037356.37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245741.74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f>3738577.45+2367.78+507124+47</f>
        <v>4248116.2300000004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33126879.765000001</v>
      </c>
      <c r="E229" s="175"/>
    </row>
    <row r="230" spans="1:5" ht="12.65" customHeight="1" x14ac:dyDescent="0.35">
      <c r="A230" s="256" t="s">
        <v>351</v>
      </c>
      <c r="B230" s="256"/>
      <c r="C230" s="256"/>
      <c r="D230" s="256"/>
      <c r="E230" s="256"/>
    </row>
    <row r="231" spans="1:5" ht="12.65" customHeight="1" x14ac:dyDescent="0.35">
      <c r="A231" s="171" t="s">
        <v>352</v>
      </c>
      <c r="B231" s="172" t="s">
        <v>256</v>
      </c>
      <c r="C231" s="189">
        <v>1565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166992.91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870883.49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1037876.4</v>
      </c>
      <c r="E236" s="175"/>
    </row>
    <row r="237" spans="1:5" ht="12.65" customHeight="1" x14ac:dyDescent="0.35">
      <c r="A237" s="256" t="s">
        <v>356</v>
      </c>
      <c r="B237" s="256"/>
      <c r="C237" s="256"/>
      <c r="D237" s="256"/>
      <c r="E237" s="256"/>
    </row>
    <row r="238" spans="1:5" ht="12.65" customHeight="1" x14ac:dyDescent="0.35">
      <c r="A238" s="173" t="s">
        <v>357</v>
      </c>
      <c r="B238" s="172" t="s">
        <v>256</v>
      </c>
      <c r="C238" s="189">
        <f>622614+3238481.31</f>
        <v>3861095.31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33974.43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3895069.74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39889986.765000001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6" t="s">
        <v>361</v>
      </c>
      <c r="B249" s="256"/>
      <c r="C249" s="256"/>
      <c r="D249" s="256"/>
      <c r="E249" s="256"/>
    </row>
    <row r="250" spans="1:5" ht="12.45" customHeight="1" x14ac:dyDescent="0.35">
      <c r="A250" s="173" t="s">
        <v>362</v>
      </c>
      <c r="B250" s="172" t="s">
        <v>256</v>
      </c>
      <c r="C250" s="189">
        <v>2429901.5299999998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v>15650980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9690015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1016353.69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f>74743.68+116003</f>
        <v>190746.68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775683.21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163858.54999999999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10537508.66</v>
      </c>
      <c r="E260" s="175"/>
    </row>
    <row r="261" spans="1:5" ht="11.25" customHeight="1" x14ac:dyDescent="0.35">
      <c r="A261" s="256" t="s">
        <v>372</v>
      </c>
      <c r="B261" s="256"/>
      <c r="C261" s="256"/>
      <c r="D261" s="256"/>
      <c r="E261" s="256"/>
    </row>
    <row r="262" spans="1:5" ht="12.45" customHeight="1" x14ac:dyDescent="0.35">
      <c r="A262" s="173" t="s">
        <v>362</v>
      </c>
      <c r="B262" s="172" t="s">
        <v>256</v>
      </c>
      <c r="C262" s="189">
        <v>1279926.0900000001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1279926.0900000001</v>
      </c>
      <c r="E265" s="175"/>
    </row>
    <row r="266" spans="1:5" ht="11.25" customHeight="1" x14ac:dyDescent="0.35">
      <c r="A266" s="256" t="s">
        <v>375</v>
      </c>
      <c r="B266" s="256"/>
      <c r="C266" s="256"/>
      <c r="D266" s="256"/>
      <c r="E266" s="256"/>
    </row>
    <row r="267" spans="1:5" ht="12.45" customHeight="1" x14ac:dyDescent="0.35">
      <c r="A267" s="173" t="s">
        <v>332</v>
      </c>
      <c r="B267" s="172" t="s">
        <v>256</v>
      </c>
      <c r="C267" s="189">
        <v>146306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1128016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7901929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5860084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290017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f>8742840.72+2137681.36</f>
        <v>10880522.08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54217.53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26261091.609999999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15132833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11128258.609999999</v>
      </c>
      <c r="E277" s="175"/>
    </row>
    <row r="278" spans="1:5" ht="12.65" customHeight="1" x14ac:dyDescent="0.35">
      <c r="A278" s="256" t="s">
        <v>382</v>
      </c>
      <c r="B278" s="256"/>
      <c r="C278" s="256"/>
      <c r="D278" s="256"/>
      <c r="E278" s="256"/>
    </row>
    <row r="279" spans="1:5" ht="12.65" customHeight="1" x14ac:dyDescent="0.35">
      <c r="A279" s="173" t="s">
        <v>383</v>
      </c>
      <c r="B279" s="172" t="s">
        <v>256</v>
      </c>
      <c r="C279" s="189">
        <f>56221.9+36717.59+1453541.96+11851.78</f>
        <v>1558333.23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f>8129.93+1261010.52+36717.59</f>
        <v>1305858.04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252475.18999999994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6" t="s">
        <v>387</v>
      </c>
      <c r="B285" s="256"/>
      <c r="C285" s="256"/>
      <c r="D285" s="256"/>
      <c r="E285" s="256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23198168.550000001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6" t="s">
        <v>395</v>
      </c>
      <c r="B303" s="256"/>
      <c r="C303" s="256"/>
      <c r="D303" s="256"/>
      <c r="E303" s="256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2187726.14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v>1743878.4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908484.46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22734.63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v>1275616.1599999999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6138439.79</v>
      </c>
      <c r="E314" s="175"/>
    </row>
    <row r="315" spans="1:5" ht="12.65" customHeight="1" x14ac:dyDescent="0.35">
      <c r="A315" s="256" t="s">
        <v>406</v>
      </c>
      <c r="B315" s="256"/>
      <c r="C315" s="256"/>
      <c r="D315" s="256"/>
      <c r="E315" s="256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6" t="s">
        <v>411</v>
      </c>
      <c r="B320" s="256"/>
      <c r="C320" s="256"/>
      <c r="D320" s="256"/>
      <c r="E320" s="256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f>4293191.99+494009.93</f>
        <v>4787201.92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f>2584874+781606.23</f>
        <v>3366480.23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8153682.1500000004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1275616.1599999999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6878065.9900000002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f>8587017.66+1588728.39+5916.95</f>
        <v>10181663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23198168.780000001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23198168.550000001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6" t="s">
        <v>427</v>
      </c>
      <c r="B358" s="256"/>
      <c r="C358" s="256"/>
      <c r="D358" s="256"/>
      <c r="E358" s="256"/>
    </row>
    <row r="359" spans="1:5" ht="12.65" customHeight="1" x14ac:dyDescent="0.35">
      <c r="A359" s="173" t="s">
        <v>428</v>
      </c>
      <c r="B359" s="172" t="s">
        <v>256</v>
      </c>
      <c r="C359" s="189">
        <v>12133223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f>524881.86+63030982.85</f>
        <v>63555864.710000001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75689087.710000008</v>
      </c>
      <c r="E361" s="175"/>
    </row>
    <row r="362" spans="1:5" ht="12.65" customHeight="1" x14ac:dyDescent="0.35">
      <c r="A362" s="256" t="s">
        <v>431</v>
      </c>
      <c r="B362" s="256"/>
      <c r="C362" s="256"/>
      <c r="D362" s="256"/>
      <c r="E362" s="256"/>
    </row>
    <row r="363" spans="1:5" ht="12.65" customHeight="1" x14ac:dyDescent="0.35">
      <c r="A363" s="173" t="s">
        <v>1255</v>
      </c>
      <c r="B363" s="256"/>
      <c r="C363" s="189">
        <v>1830160.86</v>
      </c>
      <c r="D363" s="175"/>
      <c r="E363" s="256"/>
    </row>
    <row r="364" spans="1:5" ht="12.65" customHeight="1" x14ac:dyDescent="0.35">
      <c r="A364" s="173" t="s">
        <v>432</v>
      </c>
      <c r="B364" s="172" t="s">
        <v>256</v>
      </c>
      <c r="C364" s="189">
        <f>129736.27+1752619.63+35316696.31+38760.15-865984.69</f>
        <v>36371827.670000002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1037876.43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f>650122.19</f>
        <v>650122.18999999994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39889987.149999999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35799100.56000001</v>
      </c>
      <c r="E368" s="175"/>
    </row>
    <row r="369" spans="1:5" ht="12.65" customHeight="1" x14ac:dyDescent="0.35">
      <c r="A369" s="256" t="s">
        <v>436</v>
      </c>
      <c r="B369" s="256"/>
      <c r="C369" s="256"/>
      <c r="D369" s="256"/>
      <c r="E369" s="256"/>
    </row>
    <row r="370" spans="1:5" ht="12.65" customHeight="1" x14ac:dyDescent="0.35">
      <c r="A370" s="173" t="s">
        <v>437</v>
      </c>
      <c r="B370" s="172" t="s">
        <v>256</v>
      </c>
      <c r="C370" s="189">
        <v>900647.75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1045047.69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1945695.44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37744796.000000007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6" t="s">
        <v>441</v>
      </c>
      <c r="B377" s="256"/>
      <c r="C377" s="256"/>
      <c r="D377" s="256"/>
      <c r="E377" s="256"/>
    </row>
    <row r="378" spans="1:5" ht="12.65" customHeight="1" x14ac:dyDescent="0.35">
      <c r="A378" s="173" t="s">
        <v>442</v>
      </c>
      <c r="B378" s="172" t="s">
        <v>256</v>
      </c>
      <c r="C378" s="189">
        <v>16442630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4182324.52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4526635.41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4975041.25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461017.54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2824891.95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1418451.47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426629.39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473175.13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f>30734.42-0.22-7.5+191770.91</f>
        <v>222497.61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290107.42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83469.66+78168.27+3840.84+7611.51+14515.26+154375.47</f>
        <v>341981.01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36585382.700000003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1159413.3000000045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20279.5+218144.27+174252.9+63907.4-10000-39587.97+2319.35</f>
        <v>429315.44999999995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1588728.7500000044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/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1588728.7500000044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9"/>
    </row>
    <row r="412" spans="1:5" ht="12.65" customHeight="1" x14ac:dyDescent="0.35">
      <c r="A412" s="179" t="str">
        <f>C84&amp;"   "&amp;"H-"&amp;FIXED(C83,0,TRUE)&amp;"     FYE "&amp;C82</f>
        <v>Mid Valley Hospital   H-0     FYE 12/31/2019</v>
      </c>
      <c r="B412" s="179"/>
      <c r="C412" s="179"/>
      <c r="D412" s="179"/>
      <c r="E412" s="259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628</v>
      </c>
      <c r="C414" s="194">
        <f>E138</f>
        <v>628</v>
      </c>
      <c r="D414" s="179"/>
    </row>
    <row r="415" spans="1:5" ht="12.65" customHeight="1" x14ac:dyDescent="0.35">
      <c r="A415" s="179" t="s">
        <v>464</v>
      </c>
      <c r="B415" s="179">
        <f>D111</f>
        <v>1605</v>
      </c>
      <c r="C415" s="179">
        <f>E139</f>
        <v>1605</v>
      </c>
      <c r="D415" s="194">
        <f>SUM(C59:H59)+N59</f>
        <v>1605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5" customHeight="1" x14ac:dyDescent="0.3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232</v>
      </c>
    </row>
    <row r="424" spans="1:7" ht="12.65" customHeight="1" x14ac:dyDescent="0.35">
      <c r="A424" s="179" t="s">
        <v>1244</v>
      </c>
      <c r="B424" s="179">
        <f>D114</f>
        <v>365</v>
      </c>
      <c r="D424" s="179">
        <f>J59</f>
        <v>365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16442630</v>
      </c>
      <c r="C427" s="179">
        <f t="shared" ref="C427:C434" si="13">CE61</f>
        <v>16442630.189999999</v>
      </c>
      <c r="D427" s="179"/>
    </row>
    <row r="428" spans="1:7" ht="12.65" customHeight="1" x14ac:dyDescent="0.35">
      <c r="A428" s="179" t="s">
        <v>3</v>
      </c>
      <c r="B428" s="179">
        <f t="shared" si="12"/>
        <v>4182324.52</v>
      </c>
      <c r="C428" s="179">
        <f t="shared" si="13"/>
        <v>4182324</v>
      </c>
      <c r="D428" s="179">
        <f>D173</f>
        <v>4182324.52</v>
      </c>
    </row>
    <row r="429" spans="1:7" ht="12.65" customHeight="1" x14ac:dyDescent="0.35">
      <c r="A429" s="179" t="s">
        <v>236</v>
      </c>
      <c r="B429" s="179">
        <f t="shared" si="12"/>
        <v>4526635.41</v>
      </c>
      <c r="C429" s="179">
        <f t="shared" si="13"/>
        <v>4526635.41</v>
      </c>
      <c r="D429" s="179"/>
    </row>
    <row r="430" spans="1:7" ht="12.65" customHeight="1" x14ac:dyDescent="0.35">
      <c r="A430" s="179" t="s">
        <v>237</v>
      </c>
      <c r="B430" s="179">
        <f t="shared" si="12"/>
        <v>4975041.25</v>
      </c>
      <c r="C430" s="179">
        <f t="shared" si="13"/>
        <v>4975040.97</v>
      </c>
      <c r="D430" s="179"/>
    </row>
    <row r="431" spans="1:7" ht="12.65" customHeight="1" x14ac:dyDescent="0.35">
      <c r="A431" s="179" t="s">
        <v>444</v>
      </c>
      <c r="B431" s="179">
        <f t="shared" si="12"/>
        <v>461017.54</v>
      </c>
      <c r="C431" s="179">
        <f t="shared" si="13"/>
        <v>461017.54000000004</v>
      </c>
      <c r="D431" s="179"/>
    </row>
    <row r="432" spans="1:7" ht="12.65" customHeight="1" x14ac:dyDescent="0.35">
      <c r="A432" s="179" t="s">
        <v>445</v>
      </c>
      <c r="B432" s="179">
        <f t="shared" si="12"/>
        <v>2824891.95</v>
      </c>
      <c r="C432" s="179">
        <f t="shared" si="13"/>
        <v>2824891.8600000003</v>
      </c>
      <c r="D432" s="179"/>
    </row>
    <row r="433" spans="1:7" ht="12.65" customHeight="1" x14ac:dyDescent="0.35">
      <c r="A433" s="179" t="s">
        <v>6</v>
      </c>
      <c r="B433" s="179">
        <f t="shared" si="12"/>
        <v>1418451.47</v>
      </c>
      <c r="C433" s="179">
        <f t="shared" si="13"/>
        <v>1458039</v>
      </c>
      <c r="D433" s="179">
        <f>C217</f>
        <v>1418269.23</v>
      </c>
    </row>
    <row r="434" spans="1:7" ht="12.65" customHeight="1" x14ac:dyDescent="0.35">
      <c r="A434" s="179" t="s">
        <v>474</v>
      </c>
      <c r="B434" s="179">
        <f t="shared" si="12"/>
        <v>426629.39</v>
      </c>
      <c r="C434" s="179">
        <f t="shared" si="13"/>
        <v>426629.17999999993</v>
      </c>
      <c r="D434" s="179">
        <f>D177</f>
        <v>426629.39</v>
      </c>
    </row>
    <row r="435" spans="1:7" ht="12.65" customHeight="1" x14ac:dyDescent="0.35">
      <c r="A435" s="179" t="s">
        <v>447</v>
      </c>
      <c r="B435" s="179">
        <f t="shared" si="12"/>
        <v>473175.13</v>
      </c>
      <c r="C435" s="179"/>
      <c r="D435" s="179">
        <f>D181</f>
        <v>473175.18</v>
      </c>
    </row>
    <row r="436" spans="1:7" ht="12.65" customHeight="1" x14ac:dyDescent="0.35">
      <c r="A436" s="179" t="s">
        <v>475</v>
      </c>
      <c r="B436" s="179">
        <f t="shared" si="12"/>
        <v>222497.61</v>
      </c>
      <c r="C436" s="179"/>
      <c r="D436" s="179">
        <f>D186</f>
        <v>222497.61</v>
      </c>
    </row>
    <row r="437" spans="1:7" ht="12.65" customHeight="1" x14ac:dyDescent="0.35">
      <c r="A437" s="194" t="s">
        <v>449</v>
      </c>
      <c r="B437" s="194">
        <f t="shared" si="12"/>
        <v>290107.42</v>
      </c>
      <c r="C437" s="194"/>
      <c r="D437" s="194">
        <f>D190</f>
        <v>290107.42</v>
      </c>
    </row>
    <row r="438" spans="1:7" ht="12.65" customHeight="1" x14ac:dyDescent="0.35">
      <c r="A438" s="194" t="s">
        <v>476</v>
      </c>
      <c r="B438" s="194">
        <f>C386+C387+C388</f>
        <v>985780.15999999992</v>
      </c>
      <c r="C438" s="194">
        <f>CD69</f>
        <v>501742.72</v>
      </c>
      <c r="D438" s="194">
        <f>D181+D186+D190</f>
        <v>985780.21</v>
      </c>
    </row>
    <row r="439" spans="1:7" ht="12.65" customHeight="1" x14ac:dyDescent="0.35">
      <c r="A439" s="179" t="s">
        <v>451</v>
      </c>
      <c r="B439" s="194">
        <f>C389</f>
        <v>341981.01</v>
      </c>
      <c r="C439" s="194">
        <f>SUM(C69:CC69)</f>
        <v>535909.77999999991</v>
      </c>
      <c r="D439" s="179"/>
    </row>
    <row r="440" spans="1:7" ht="12.65" customHeight="1" x14ac:dyDescent="0.35">
      <c r="A440" s="179" t="s">
        <v>477</v>
      </c>
      <c r="B440" s="194">
        <f>B438+B439</f>
        <v>1327761.17</v>
      </c>
      <c r="C440" s="194">
        <f>CE69</f>
        <v>1037652.4999999999</v>
      </c>
      <c r="D440" s="179"/>
    </row>
    <row r="441" spans="1:7" ht="12.65" customHeight="1" x14ac:dyDescent="0.35">
      <c r="A441" s="179" t="s">
        <v>478</v>
      </c>
      <c r="B441" s="179">
        <f>D390</f>
        <v>36585382.700000003</v>
      </c>
      <c r="C441" s="179">
        <f>SUM(C427:C437)+C440</f>
        <v>36334860.649999999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1830160.86</v>
      </c>
      <c r="C444" s="179">
        <f>C363</f>
        <v>1830160.86</v>
      </c>
      <c r="D444" s="179"/>
    </row>
    <row r="445" spans="1:7" ht="12.65" customHeight="1" x14ac:dyDescent="0.35">
      <c r="A445" s="179" t="s">
        <v>343</v>
      </c>
      <c r="B445" s="179">
        <f>D229</f>
        <v>33126879.765000001</v>
      </c>
      <c r="C445" s="179">
        <f>C364</f>
        <v>36371827.670000002</v>
      </c>
      <c r="D445" s="179"/>
    </row>
    <row r="446" spans="1:7" ht="12.65" customHeight="1" x14ac:dyDescent="0.35">
      <c r="A446" s="179" t="s">
        <v>351</v>
      </c>
      <c r="B446" s="179">
        <f>D236</f>
        <v>1037876.4</v>
      </c>
      <c r="C446" s="179">
        <f>C365</f>
        <v>1037876.43</v>
      </c>
      <c r="D446" s="179"/>
    </row>
    <row r="447" spans="1:7" ht="12.65" customHeight="1" x14ac:dyDescent="0.35">
      <c r="A447" s="179" t="s">
        <v>356</v>
      </c>
      <c r="B447" s="179">
        <f>D240</f>
        <v>3895069.74</v>
      </c>
      <c r="C447" s="179">
        <f>C366</f>
        <v>650122.18999999994</v>
      </c>
      <c r="D447" s="179"/>
    </row>
    <row r="448" spans="1:7" ht="12.65" customHeight="1" x14ac:dyDescent="0.35">
      <c r="A448" s="179" t="s">
        <v>358</v>
      </c>
      <c r="B448" s="179">
        <f>D242</f>
        <v>39889986.765000001</v>
      </c>
      <c r="C448" s="179">
        <f>D367</f>
        <v>39889987.149999999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1565</v>
      </c>
    </row>
    <row r="454" spans="1:7" ht="12.65" customHeight="1" x14ac:dyDescent="0.35">
      <c r="A454" s="179" t="s">
        <v>168</v>
      </c>
      <c r="B454" s="179">
        <f>C233</f>
        <v>166992.91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870883.49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900647.75</v>
      </c>
      <c r="C458" s="194">
        <f>CE70</f>
        <v>774085.3600000001</v>
      </c>
      <c r="D458" s="194"/>
    </row>
    <row r="459" spans="1:7" ht="12.65" customHeight="1" x14ac:dyDescent="0.35">
      <c r="A459" s="179" t="s">
        <v>244</v>
      </c>
      <c r="B459" s="194">
        <f>C371</f>
        <v>1045047.69</v>
      </c>
      <c r="C459" s="194">
        <f>CE72</f>
        <v>1045047.69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12133223</v>
      </c>
      <c r="C463" s="194">
        <f>CE73</f>
        <v>12133223</v>
      </c>
      <c r="D463" s="194">
        <f>E141+E147+E153</f>
        <v>12133223</v>
      </c>
    </row>
    <row r="464" spans="1:7" ht="12.65" customHeight="1" x14ac:dyDescent="0.35">
      <c r="A464" s="179" t="s">
        <v>246</v>
      </c>
      <c r="B464" s="194">
        <f>C360</f>
        <v>63555864.710000001</v>
      </c>
      <c r="C464" s="194">
        <f>CE74</f>
        <v>63555864.709999993</v>
      </c>
      <c r="D464" s="194">
        <f>E142+E148+E154</f>
        <v>63555863.719999999</v>
      </c>
    </row>
    <row r="465" spans="1:7" ht="12.65" customHeight="1" x14ac:dyDescent="0.35">
      <c r="A465" s="179" t="s">
        <v>247</v>
      </c>
      <c r="B465" s="194">
        <f>D361</f>
        <v>75689087.710000008</v>
      </c>
      <c r="C465" s="194">
        <f>CE75</f>
        <v>75689087.709999993</v>
      </c>
      <c r="D465" s="194">
        <f>D463+D464</f>
        <v>75689086.719999999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146306</v>
      </c>
      <c r="C468" s="179">
        <f>E195</f>
        <v>146305.63</v>
      </c>
      <c r="D468" s="179"/>
    </row>
    <row r="469" spans="1:7" ht="12.65" customHeight="1" x14ac:dyDescent="0.35">
      <c r="A469" s="179" t="s">
        <v>333</v>
      </c>
      <c r="B469" s="179">
        <f t="shared" si="14"/>
        <v>1128016</v>
      </c>
      <c r="C469" s="179">
        <f>E196</f>
        <v>1128015.8799999999</v>
      </c>
      <c r="D469" s="179"/>
    </row>
    <row r="470" spans="1:7" ht="12.65" customHeight="1" x14ac:dyDescent="0.35">
      <c r="A470" s="179" t="s">
        <v>334</v>
      </c>
      <c r="B470" s="179">
        <f t="shared" si="14"/>
        <v>7901929</v>
      </c>
      <c r="C470" s="179">
        <f>E197</f>
        <v>7901929</v>
      </c>
      <c r="D470" s="179"/>
    </row>
    <row r="471" spans="1:7" ht="12.65" customHeight="1" x14ac:dyDescent="0.35">
      <c r="A471" s="179" t="s">
        <v>494</v>
      </c>
      <c r="B471" s="179">
        <f t="shared" si="14"/>
        <v>5860084</v>
      </c>
      <c r="C471" s="179">
        <f>E198</f>
        <v>5860084</v>
      </c>
      <c r="D471" s="179"/>
    </row>
    <row r="472" spans="1:7" ht="12.65" customHeight="1" x14ac:dyDescent="0.35">
      <c r="A472" s="179" t="s">
        <v>377</v>
      </c>
      <c r="B472" s="179">
        <f t="shared" si="14"/>
        <v>290017</v>
      </c>
      <c r="C472" s="179">
        <f>E199</f>
        <v>290017.29000000004</v>
      </c>
      <c r="D472" s="179"/>
    </row>
    <row r="473" spans="1:7" ht="12.65" customHeight="1" x14ac:dyDescent="0.35">
      <c r="A473" s="179" t="s">
        <v>495</v>
      </c>
      <c r="B473" s="179">
        <f t="shared" si="14"/>
        <v>10880522.08</v>
      </c>
      <c r="C473" s="179">
        <f>SUM(E200:E201)</f>
        <v>10880521.969999999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54217.53</v>
      </c>
      <c r="C475" s="179">
        <f>E203</f>
        <v>54217.520000000019</v>
      </c>
      <c r="D475" s="179"/>
    </row>
    <row r="476" spans="1:7" ht="12.65" customHeight="1" x14ac:dyDescent="0.35">
      <c r="A476" s="179" t="s">
        <v>203</v>
      </c>
      <c r="B476" s="179">
        <f>D275</f>
        <v>26261091.609999999</v>
      </c>
      <c r="C476" s="179">
        <f>E204</f>
        <v>26261091.289999999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15132833</v>
      </c>
      <c r="C478" s="179">
        <f>E217</f>
        <v>15132833.209999999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23198168.550000001</v>
      </c>
    </row>
    <row r="482" spans="1:12" ht="12.65" customHeight="1" x14ac:dyDescent="0.35">
      <c r="A482" s="180" t="s">
        <v>499</v>
      </c>
      <c r="C482" s="180">
        <f>D339</f>
        <v>23198168.780000001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147</v>
      </c>
      <c r="B493" s="260" t="str">
        <f>RIGHT('2018 Prior Year'!C82,4)</f>
        <v>2018</v>
      </c>
      <c r="C493" s="260" t="str">
        <f>RIGHT(C82,4)</f>
        <v>2019</v>
      </c>
      <c r="D493" s="260" t="str">
        <f>RIGHT('2018 Prior Year'!C82,4)</f>
        <v>2018</v>
      </c>
      <c r="E493" s="260" t="str">
        <f>RIGHT(C82,4)</f>
        <v>2019</v>
      </c>
      <c r="F493" s="260" t="str">
        <f>RIGHT('2018 Prior Year'!C82,4)</f>
        <v>2018</v>
      </c>
      <c r="G493" s="260" t="str">
        <f>RIGHT(C82,4)</f>
        <v>2019</v>
      </c>
      <c r="H493" s="260"/>
      <c r="K493" s="260"/>
      <c r="L493" s="260"/>
    </row>
    <row r="494" spans="1:12" ht="12.65" customHeight="1" x14ac:dyDescent="0.3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5" customHeight="1" x14ac:dyDescent="0.35">
      <c r="A496" s="180" t="s">
        <v>512</v>
      </c>
      <c r="B496" s="239">
        <f>'2018 Prior Year'!C71</f>
        <v>0</v>
      </c>
      <c r="C496" s="239">
        <f>C71</f>
        <v>0</v>
      </c>
      <c r="D496" s="239">
        <f>'2018 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5" customHeight="1" x14ac:dyDescent="0.35">
      <c r="A497" s="180" t="s">
        <v>513</v>
      </c>
      <c r="B497" s="239">
        <f>'2018 Prior Year'!D71</f>
        <v>0</v>
      </c>
      <c r="C497" s="239">
        <f>D71</f>
        <v>0</v>
      </c>
      <c r="D497" s="239">
        <f>'2018 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5" customHeight="1" x14ac:dyDescent="0.35">
      <c r="A498" s="180" t="s">
        <v>514</v>
      </c>
      <c r="B498" s="239">
        <f>'2018 Prior Year'!E71</f>
        <v>3378392.2500000005</v>
      </c>
      <c r="C498" s="239">
        <f>E71</f>
        <v>3432338.8000000003</v>
      </c>
      <c r="D498" s="239">
        <f>'2018 Prior Year'!E59</f>
        <v>1725</v>
      </c>
      <c r="E498" s="180">
        <f>E59</f>
        <v>1605</v>
      </c>
      <c r="F498" s="262">
        <f t="shared" si="15"/>
        <v>1958.4882608695655</v>
      </c>
      <c r="G498" s="262">
        <f t="shared" si="15"/>
        <v>2138.528847352025</v>
      </c>
      <c r="H498" s="264" t="str">
        <f t="shared" si="16"/>
        <v/>
      </c>
      <c r="I498" s="266"/>
      <c r="K498" s="260"/>
      <c r="L498" s="260"/>
    </row>
    <row r="499" spans="1:12" ht="12.65" customHeight="1" x14ac:dyDescent="0.35">
      <c r="A499" s="180" t="s">
        <v>515</v>
      </c>
      <c r="B499" s="239">
        <f>'2018 Prior Year'!F71</f>
        <v>0</v>
      </c>
      <c r="C499" s="239">
        <f>F71</f>
        <v>0</v>
      </c>
      <c r="D499" s="239">
        <f>'2018 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5" customHeight="1" x14ac:dyDescent="0.35">
      <c r="A500" s="180" t="s">
        <v>516</v>
      </c>
      <c r="B500" s="239">
        <f>'2018 Prior Year'!G71</f>
        <v>0</v>
      </c>
      <c r="C500" s="239">
        <f>G71</f>
        <v>0</v>
      </c>
      <c r="D500" s="239">
        <f>'2018 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5" customHeight="1" x14ac:dyDescent="0.35">
      <c r="A501" s="180" t="s">
        <v>517</v>
      </c>
      <c r="B501" s="239">
        <f>'2018 Prior Year'!H71</f>
        <v>0</v>
      </c>
      <c r="C501" s="239">
        <f>H71</f>
        <v>0</v>
      </c>
      <c r="D501" s="239">
        <f>'2018 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5" customHeight="1" x14ac:dyDescent="0.35">
      <c r="A502" s="180" t="s">
        <v>518</v>
      </c>
      <c r="B502" s="239">
        <f>'2018 Prior Year'!I71</f>
        <v>0</v>
      </c>
      <c r="C502" s="239">
        <f>I71</f>
        <v>0</v>
      </c>
      <c r="D502" s="239">
        <f>'2018 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5" customHeight="1" x14ac:dyDescent="0.35">
      <c r="A503" s="180" t="s">
        <v>519</v>
      </c>
      <c r="B503" s="239">
        <f>'2018 Prior Year'!J71</f>
        <v>397</v>
      </c>
      <c r="C503" s="239">
        <f>J71</f>
        <v>624</v>
      </c>
      <c r="D503" s="239">
        <f>'2018 Prior Year'!J59</f>
        <v>387</v>
      </c>
      <c r="E503" s="180">
        <f>J59</f>
        <v>365</v>
      </c>
      <c r="F503" s="262">
        <f t="shared" si="15"/>
        <v>1.0258397932816536</v>
      </c>
      <c r="G503" s="262">
        <f t="shared" si="15"/>
        <v>1.7095890410958905</v>
      </c>
      <c r="H503" s="264">
        <f t="shared" si="16"/>
        <v>0.66652634484662387</v>
      </c>
      <c r="I503" s="266"/>
      <c r="K503" s="260"/>
      <c r="L503" s="260"/>
    </row>
    <row r="504" spans="1:12" ht="12.65" customHeight="1" x14ac:dyDescent="0.35">
      <c r="A504" s="180" t="s">
        <v>520</v>
      </c>
      <c r="B504" s="239">
        <f>'2018 Prior Year'!K71</f>
        <v>0</v>
      </c>
      <c r="C504" s="239">
        <f>K71</f>
        <v>0</v>
      </c>
      <c r="D504" s="239">
        <f>'2018 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5" customHeight="1" x14ac:dyDescent="0.35">
      <c r="A505" s="180" t="s">
        <v>521</v>
      </c>
      <c r="B505" s="239">
        <f>'2018 Prior Year'!L71</f>
        <v>77636.75</v>
      </c>
      <c r="C505" s="239">
        <f>L71</f>
        <v>0</v>
      </c>
      <c r="D505" s="239">
        <f>'2018 Prior Year'!L59</f>
        <v>49</v>
      </c>
      <c r="E505" s="180">
        <f>L59</f>
        <v>0</v>
      </c>
      <c r="F505" s="262">
        <f t="shared" si="15"/>
        <v>1584.4234693877552</v>
      </c>
      <c r="G505" s="262" t="str">
        <f t="shared" si="15"/>
        <v/>
      </c>
      <c r="H505" s="264" t="str">
        <f t="shared" si="16"/>
        <v/>
      </c>
      <c r="I505" s="266"/>
      <c r="K505" s="260"/>
      <c r="L505" s="260"/>
    </row>
    <row r="506" spans="1:12" ht="12.65" customHeight="1" x14ac:dyDescent="0.35">
      <c r="A506" s="180" t="s">
        <v>522</v>
      </c>
      <c r="B506" s="239">
        <f>'2018 Prior Year'!M71</f>
        <v>0</v>
      </c>
      <c r="C506" s="239">
        <f>M71</f>
        <v>0</v>
      </c>
      <c r="D506" s="239">
        <f>'2018 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5" customHeight="1" x14ac:dyDescent="0.35">
      <c r="A507" s="180" t="s">
        <v>523</v>
      </c>
      <c r="B507" s="239">
        <f>'2018 Prior Year'!N71</f>
        <v>0</v>
      </c>
      <c r="C507" s="239">
        <f>N71</f>
        <v>0</v>
      </c>
      <c r="D507" s="239">
        <f>'2018 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5" customHeight="1" x14ac:dyDescent="0.35">
      <c r="A508" s="180" t="s">
        <v>524</v>
      </c>
      <c r="B508" s="239">
        <f>'2018 Prior Year'!O71</f>
        <v>1298693</v>
      </c>
      <c r="C508" s="239">
        <f>O71</f>
        <v>1406013.5100000002</v>
      </c>
      <c r="D508" s="239">
        <f>'2018 Prior Year'!O59</f>
        <v>216</v>
      </c>
      <c r="E508" s="180">
        <f>O59</f>
        <v>232</v>
      </c>
      <c r="F508" s="262">
        <f t="shared" si="15"/>
        <v>6012.4675925925922</v>
      </c>
      <c r="G508" s="262">
        <f t="shared" si="15"/>
        <v>6060.4030603448282</v>
      </c>
      <c r="H508" s="264" t="str">
        <f t="shared" si="16"/>
        <v/>
      </c>
      <c r="I508" s="266"/>
      <c r="K508" s="260"/>
      <c r="L508" s="260"/>
    </row>
    <row r="509" spans="1:12" ht="12.65" customHeight="1" x14ac:dyDescent="0.35">
      <c r="A509" s="180" t="s">
        <v>525</v>
      </c>
      <c r="B509" s="239">
        <f>'2018 Prior Year'!P71</f>
        <v>1512109</v>
      </c>
      <c r="C509" s="239">
        <f>P71</f>
        <v>1749142.54</v>
      </c>
      <c r="D509" s="239">
        <f>'2018 Prior Year'!P59</f>
        <v>116968</v>
      </c>
      <c r="E509" s="180">
        <f>P59</f>
        <v>113880</v>
      </c>
      <c r="F509" s="262">
        <f t="shared" si="15"/>
        <v>12.927544285616579</v>
      </c>
      <c r="G509" s="262">
        <f t="shared" si="15"/>
        <v>15.359523533544081</v>
      </c>
      <c r="H509" s="264" t="str">
        <f t="shared" si="16"/>
        <v/>
      </c>
      <c r="I509" s="266"/>
      <c r="K509" s="260"/>
      <c r="L509" s="260"/>
    </row>
    <row r="510" spans="1:12" ht="12.65" customHeight="1" x14ac:dyDescent="0.35">
      <c r="A510" s="180" t="s">
        <v>526</v>
      </c>
      <c r="B510" s="239">
        <f>'2018 Prior Year'!Q71</f>
        <v>608889</v>
      </c>
      <c r="C510" s="239">
        <f>Q71</f>
        <v>692903.9</v>
      </c>
      <c r="D510" s="239">
        <f>'2018 Prior Year'!Q59</f>
        <v>125899</v>
      </c>
      <c r="E510" s="180">
        <f>Q59</f>
        <v>136488</v>
      </c>
      <c r="F510" s="262">
        <f t="shared" si="15"/>
        <v>4.8363291209620414</v>
      </c>
      <c r="G510" s="262">
        <f t="shared" si="15"/>
        <v>5.0766653478694099</v>
      </c>
      <c r="H510" s="264" t="str">
        <f t="shared" si="16"/>
        <v/>
      </c>
      <c r="I510" s="266"/>
      <c r="K510" s="260"/>
      <c r="L510" s="260"/>
    </row>
    <row r="511" spans="1:12" ht="12.65" customHeight="1" x14ac:dyDescent="0.35">
      <c r="A511" s="180" t="s">
        <v>527</v>
      </c>
      <c r="B511" s="239">
        <f>'2018 Prior Year'!R71</f>
        <v>834553</v>
      </c>
      <c r="C511" s="239">
        <f>R71</f>
        <v>864971.33000000007</v>
      </c>
      <c r="D511" s="239">
        <f>'2018 Prior Year'!R59</f>
        <v>125724</v>
      </c>
      <c r="E511" s="180">
        <f>R59</f>
        <v>133609</v>
      </c>
      <c r="F511" s="262">
        <f t="shared" si="15"/>
        <v>6.6379768381534152</v>
      </c>
      <c r="G511" s="262">
        <f t="shared" si="15"/>
        <v>6.4739001863646912</v>
      </c>
      <c r="H511" s="264" t="str">
        <f t="shared" si="16"/>
        <v/>
      </c>
      <c r="I511" s="266"/>
      <c r="K511" s="260"/>
      <c r="L511" s="260"/>
    </row>
    <row r="512" spans="1:12" ht="12.65" customHeight="1" x14ac:dyDescent="0.35">
      <c r="A512" s="180" t="s">
        <v>528</v>
      </c>
      <c r="B512" s="239">
        <f>'2018 Prior Year'!S71</f>
        <v>2247146.4</v>
      </c>
      <c r="C512" s="239">
        <f>S71</f>
        <v>2252568.0300000003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5" customHeight="1" x14ac:dyDescent="0.35">
      <c r="A513" s="180" t="s">
        <v>1246</v>
      </c>
      <c r="B513" s="239">
        <f>'2018 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5" customHeight="1" x14ac:dyDescent="0.35">
      <c r="A514" s="180" t="s">
        <v>530</v>
      </c>
      <c r="B514" s="239">
        <f>'2018 Prior Year'!U71</f>
        <v>1398384</v>
      </c>
      <c r="C514" s="239">
        <f>U71</f>
        <v>1742773.33</v>
      </c>
      <c r="D514" s="239">
        <f>'2018 Prior Year'!U59</f>
        <v>73713</v>
      </c>
      <c r="E514" s="180">
        <f>U59</f>
        <v>75093</v>
      </c>
      <c r="F514" s="262">
        <f t="shared" si="17"/>
        <v>18.97065646493834</v>
      </c>
      <c r="G514" s="262">
        <f t="shared" si="17"/>
        <v>23.208199565871652</v>
      </c>
      <c r="H514" s="264" t="str">
        <f t="shared" si="16"/>
        <v/>
      </c>
      <c r="I514" s="266"/>
      <c r="K514" s="260"/>
      <c r="L514" s="260"/>
    </row>
    <row r="515" spans="1:12" ht="12.65" customHeight="1" x14ac:dyDescent="0.35">
      <c r="A515" s="180" t="s">
        <v>531</v>
      </c>
      <c r="B515" s="239">
        <f>'2018 Prior Year'!V71</f>
        <v>1296</v>
      </c>
      <c r="C515" s="239">
        <f>V71</f>
        <v>0</v>
      </c>
      <c r="D515" s="239">
        <f>'2018 Prior Year'!V59</f>
        <v>2350</v>
      </c>
      <c r="E515" s="180">
        <f>V59</f>
        <v>2167</v>
      </c>
      <c r="F515" s="262">
        <f t="shared" si="17"/>
        <v>0.5514893617021277</v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5" customHeight="1" x14ac:dyDescent="0.35">
      <c r="A516" s="180" t="s">
        <v>532</v>
      </c>
      <c r="B516" s="239">
        <f>'2018 Prior Year'!W71</f>
        <v>0</v>
      </c>
      <c r="C516" s="239">
        <f>W71</f>
        <v>0</v>
      </c>
      <c r="D516" s="239">
        <f>'2018 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5" customHeight="1" x14ac:dyDescent="0.35">
      <c r="A517" s="180" t="s">
        <v>533</v>
      </c>
      <c r="B517" s="239">
        <f>'2018 Prior Year'!X71</f>
        <v>0</v>
      </c>
      <c r="C517" s="239">
        <f>X71</f>
        <v>0</v>
      </c>
      <c r="D517" s="239">
        <f>'2018 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5" customHeight="1" x14ac:dyDescent="0.35">
      <c r="A518" s="180" t="s">
        <v>534</v>
      </c>
      <c r="B518" s="239">
        <f>'2018 Prior Year'!Y71</f>
        <v>3026966</v>
      </c>
      <c r="C518" s="239">
        <f>Y71</f>
        <v>3096169.19</v>
      </c>
      <c r="D518" s="239">
        <f>'2018 Prior Year'!Y59</f>
        <v>0</v>
      </c>
      <c r="E518" s="180">
        <f>Y59</f>
        <v>15791</v>
      </c>
      <c r="F518" s="262" t="str">
        <f t="shared" si="17"/>
        <v/>
      </c>
      <c r="G518" s="262">
        <f t="shared" si="17"/>
        <v>196.07176176302957</v>
      </c>
      <c r="H518" s="264" t="str">
        <f t="shared" si="16"/>
        <v/>
      </c>
      <c r="I518" s="266"/>
      <c r="K518" s="260"/>
      <c r="L518" s="260"/>
    </row>
    <row r="519" spans="1:12" ht="12.65" customHeight="1" x14ac:dyDescent="0.35">
      <c r="A519" s="180" t="s">
        <v>535</v>
      </c>
      <c r="B519" s="239">
        <f>'2018 Prior Year'!Z71</f>
        <v>0</v>
      </c>
      <c r="C519" s="239">
        <f>Z71</f>
        <v>0</v>
      </c>
      <c r="D519" s="239">
        <f>'2018 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5" customHeight="1" x14ac:dyDescent="0.35">
      <c r="A520" s="180" t="s">
        <v>536</v>
      </c>
      <c r="B520" s="239">
        <f>'2018 Prior Year'!AA71</f>
        <v>0</v>
      </c>
      <c r="C520" s="239">
        <f>AA71</f>
        <v>0</v>
      </c>
      <c r="D520" s="239">
        <f>'2018 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5" customHeight="1" x14ac:dyDescent="0.35">
      <c r="A521" s="180" t="s">
        <v>537</v>
      </c>
      <c r="B521" s="239">
        <f>'2018 Prior Year'!AB71</f>
        <v>783971.66</v>
      </c>
      <c r="C521" s="239">
        <f>AB71</f>
        <v>538786.20000000007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5" customHeight="1" x14ac:dyDescent="0.35">
      <c r="A522" s="180" t="s">
        <v>538</v>
      </c>
      <c r="B522" s="239">
        <f>'2018 Prior Year'!AC71</f>
        <v>350796</v>
      </c>
      <c r="C522" s="239">
        <f>AC71</f>
        <v>369708.52</v>
      </c>
      <c r="D522" s="239">
        <f>'2018 Prior Year'!AC59</f>
        <v>1432</v>
      </c>
      <c r="E522" s="180">
        <f>AC59</f>
        <v>2518</v>
      </c>
      <c r="F522" s="262">
        <f t="shared" si="17"/>
        <v>244.96927374301677</v>
      </c>
      <c r="G522" s="262">
        <f t="shared" si="17"/>
        <v>146.82625893566322</v>
      </c>
      <c r="H522" s="264">
        <f t="shared" si="16"/>
        <v>-0.4006339787344505</v>
      </c>
      <c r="I522" s="266"/>
      <c r="K522" s="260"/>
      <c r="L522" s="260"/>
    </row>
    <row r="523" spans="1:12" ht="12.65" customHeight="1" x14ac:dyDescent="0.35">
      <c r="A523" s="180" t="s">
        <v>539</v>
      </c>
      <c r="B523" s="239">
        <f>'2018 Prior Year'!AD71</f>
        <v>0</v>
      </c>
      <c r="C523" s="239">
        <f>AD71</f>
        <v>0</v>
      </c>
      <c r="D523" s="239">
        <f>'2018 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5" customHeight="1" x14ac:dyDescent="0.35">
      <c r="A524" s="180" t="s">
        <v>540</v>
      </c>
      <c r="B524" s="239">
        <f>'2018 Prior Year'!AE71</f>
        <v>610603.05000000005</v>
      </c>
      <c r="C524" s="239">
        <f>AE71</f>
        <v>729182.44000000018</v>
      </c>
      <c r="D524" s="239">
        <f>'2018 Prior Year'!AE59</f>
        <v>12540</v>
      </c>
      <c r="E524" s="180">
        <f>AE59</f>
        <v>17107</v>
      </c>
      <c r="F524" s="262">
        <f t="shared" si="17"/>
        <v>48.692428229665076</v>
      </c>
      <c r="G524" s="262">
        <f t="shared" si="17"/>
        <v>42.624799205003811</v>
      </c>
      <c r="H524" s="264" t="str">
        <f t="shared" si="16"/>
        <v/>
      </c>
      <c r="I524" s="266"/>
      <c r="K524" s="260"/>
      <c r="L524" s="260"/>
    </row>
    <row r="525" spans="1:12" ht="12.65" customHeight="1" x14ac:dyDescent="0.35">
      <c r="A525" s="180" t="s">
        <v>541</v>
      </c>
      <c r="B525" s="239">
        <f>'2018 Prior Year'!AF71</f>
        <v>0</v>
      </c>
      <c r="C525" s="239">
        <f>AF71</f>
        <v>0</v>
      </c>
      <c r="D525" s="239">
        <f>'2018 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5" customHeight="1" x14ac:dyDescent="0.35">
      <c r="A526" s="180" t="s">
        <v>542</v>
      </c>
      <c r="B526" s="239">
        <f>'2018 Prior Year'!AG71</f>
        <v>3926256</v>
      </c>
      <c r="C526" s="239">
        <f>AG71</f>
        <v>4159208.3100000005</v>
      </c>
      <c r="D526" s="239">
        <f>'2018 Prior Year'!AG59</f>
        <v>8824</v>
      </c>
      <c r="E526" s="180">
        <f>AG59</f>
        <v>9438</v>
      </c>
      <c r="F526" s="262">
        <f t="shared" si="17"/>
        <v>444.95194922937441</v>
      </c>
      <c r="G526" s="262">
        <f t="shared" si="17"/>
        <v>440.68746662428487</v>
      </c>
      <c r="H526" s="264" t="str">
        <f t="shared" si="16"/>
        <v/>
      </c>
      <c r="I526" s="266"/>
      <c r="K526" s="260"/>
      <c r="L526" s="260"/>
    </row>
    <row r="527" spans="1:12" ht="12.65" customHeight="1" x14ac:dyDescent="0.35">
      <c r="A527" s="180" t="s">
        <v>543</v>
      </c>
      <c r="B527" s="239">
        <f>'2018 Prior Year'!AH71</f>
        <v>0</v>
      </c>
      <c r="C527" s="239">
        <f>AH71</f>
        <v>0</v>
      </c>
      <c r="D527" s="239">
        <f>'2018 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5" customHeight="1" x14ac:dyDescent="0.35">
      <c r="A528" s="180" t="s">
        <v>544</v>
      </c>
      <c r="B528" s="239">
        <f>'2018 Prior Year'!AI71</f>
        <v>0</v>
      </c>
      <c r="C528" s="239">
        <f>AI71</f>
        <v>0</v>
      </c>
      <c r="D528" s="239">
        <f>'2018 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5" customHeight="1" x14ac:dyDescent="0.35">
      <c r="A529" s="180" t="s">
        <v>545</v>
      </c>
      <c r="B529" s="239">
        <f>'2018 Prior Year'!AJ71</f>
        <v>0</v>
      </c>
      <c r="C529" s="239">
        <f>AJ71</f>
        <v>0</v>
      </c>
      <c r="D529" s="239">
        <f>'2018 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5" customHeight="1" x14ac:dyDescent="0.35">
      <c r="A530" s="180" t="s">
        <v>546</v>
      </c>
      <c r="B530" s="239">
        <f>'2018 Prior Year'!AK71</f>
        <v>0</v>
      </c>
      <c r="C530" s="239">
        <f>AK71</f>
        <v>0</v>
      </c>
      <c r="D530" s="239">
        <f>'2018 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5" customHeight="1" x14ac:dyDescent="0.35">
      <c r="A531" s="180" t="s">
        <v>547</v>
      </c>
      <c r="B531" s="239">
        <f>'2018 Prior Year'!AL71</f>
        <v>0</v>
      </c>
      <c r="C531" s="239">
        <f>AL71</f>
        <v>0</v>
      </c>
      <c r="D531" s="239">
        <f>'2018 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5" customHeight="1" x14ac:dyDescent="0.35">
      <c r="A532" s="180" t="s">
        <v>548</v>
      </c>
      <c r="B532" s="239">
        <f>'2018 Prior Year'!AM71</f>
        <v>0</v>
      </c>
      <c r="C532" s="239">
        <f>AM71</f>
        <v>0</v>
      </c>
      <c r="D532" s="239">
        <f>'2018 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5" customHeight="1" x14ac:dyDescent="0.35">
      <c r="A533" s="180" t="s">
        <v>1247</v>
      </c>
      <c r="B533" s="239">
        <f>'2018 Prior Year'!AN71</f>
        <v>0</v>
      </c>
      <c r="C533" s="239">
        <f>AN71</f>
        <v>0</v>
      </c>
      <c r="D533" s="239">
        <f>'2018 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5" customHeight="1" x14ac:dyDescent="0.35">
      <c r="A534" s="180" t="s">
        <v>549</v>
      </c>
      <c r="B534" s="239">
        <f>'2018 Prior Year'!AO71</f>
        <v>0</v>
      </c>
      <c r="C534" s="239">
        <f>AO71</f>
        <v>0</v>
      </c>
      <c r="D534" s="239">
        <f>'2018 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5" customHeight="1" x14ac:dyDescent="0.35">
      <c r="A535" s="180" t="s">
        <v>550</v>
      </c>
      <c r="B535" s="239">
        <f>'2018 Prior Year'!AP71</f>
        <v>5276360</v>
      </c>
      <c r="C535" s="239">
        <f>AP71</f>
        <v>6040332.8200000003</v>
      </c>
      <c r="D535" s="239">
        <f>'2018 Prior Year'!AP59</f>
        <v>19884</v>
      </c>
      <c r="E535" s="180">
        <f>AP59</f>
        <v>21309</v>
      </c>
      <c r="F535" s="262">
        <f t="shared" si="18"/>
        <v>265.35707101186881</v>
      </c>
      <c r="G535" s="262">
        <f t="shared" si="18"/>
        <v>283.46392697921067</v>
      </c>
      <c r="H535" s="264" t="str">
        <f t="shared" si="16"/>
        <v/>
      </c>
      <c r="I535" s="266"/>
      <c r="K535" s="260"/>
      <c r="L535" s="260"/>
    </row>
    <row r="536" spans="1:12" ht="12.65" customHeight="1" x14ac:dyDescent="0.35">
      <c r="A536" s="180" t="s">
        <v>551</v>
      </c>
      <c r="B536" s="239">
        <f>'2018 Prior Year'!AQ71</f>
        <v>0</v>
      </c>
      <c r="C536" s="239">
        <f>AQ71</f>
        <v>0</v>
      </c>
      <c r="D536" s="239">
        <f>'2018 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5" customHeight="1" x14ac:dyDescent="0.35">
      <c r="A537" s="180" t="s">
        <v>552</v>
      </c>
      <c r="B537" s="239">
        <f>'2018 Prior Year'!AR71</f>
        <v>0</v>
      </c>
      <c r="C537" s="239">
        <f>AR71</f>
        <v>0</v>
      </c>
      <c r="D537" s="239">
        <f>'2018 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5" customHeight="1" x14ac:dyDescent="0.35">
      <c r="A538" s="180" t="s">
        <v>553</v>
      </c>
      <c r="B538" s="239">
        <f>'2018 Prior Year'!AS71</f>
        <v>0</v>
      </c>
      <c r="C538" s="239">
        <f>AS71</f>
        <v>0</v>
      </c>
      <c r="D538" s="239">
        <f>'2018 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5" customHeight="1" x14ac:dyDescent="0.35">
      <c r="A539" s="180" t="s">
        <v>554</v>
      </c>
      <c r="B539" s="239">
        <f>'2018 Prior Year'!AT71</f>
        <v>0</v>
      </c>
      <c r="C539" s="239">
        <f>AT71</f>
        <v>0</v>
      </c>
      <c r="D539" s="239">
        <f>'2018 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5" customHeight="1" x14ac:dyDescent="0.35">
      <c r="A540" s="180" t="s">
        <v>555</v>
      </c>
      <c r="B540" s="239">
        <f>'2018 Prior Year'!AU71</f>
        <v>0</v>
      </c>
      <c r="C540" s="239">
        <f>AU71</f>
        <v>0</v>
      </c>
      <c r="D540" s="239">
        <f>'2018 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5" customHeight="1" x14ac:dyDescent="0.35">
      <c r="A541" s="180" t="s">
        <v>556</v>
      </c>
      <c r="B541" s="239">
        <f>'2018 Prior Year'!AV71</f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5" customHeight="1" x14ac:dyDescent="0.35">
      <c r="A542" s="180" t="s">
        <v>1248</v>
      </c>
      <c r="B542" s="239">
        <f>'2018 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5" customHeight="1" x14ac:dyDescent="0.35">
      <c r="A543" s="180" t="s">
        <v>557</v>
      </c>
      <c r="B543" s="239">
        <f>'2018 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5" customHeight="1" x14ac:dyDescent="0.35">
      <c r="A544" s="180" t="s">
        <v>558</v>
      </c>
      <c r="B544" s="239">
        <f>'2018 Prior Year'!AY71</f>
        <v>378086.17</v>
      </c>
      <c r="C544" s="239">
        <f>AY71</f>
        <v>595597.68000000017</v>
      </c>
      <c r="D544" s="239">
        <f>'2018 Prior Year'!AY59</f>
        <v>8233</v>
      </c>
      <c r="E544" s="180">
        <f>AY59</f>
        <v>8303</v>
      </c>
      <c r="F544" s="262">
        <f t="shared" ref="F544:G550" si="19">IF(B544=0,"",IF(D544=0,"",B544/D544))</f>
        <v>45.923256407141984</v>
      </c>
      <c r="G544" s="262">
        <f t="shared" si="19"/>
        <v>71.732829097916436</v>
      </c>
      <c r="H544" s="264">
        <f t="shared" si="16"/>
        <v>0.56201529921908033</v>
      </c>
      <c r="I544" s="266"/>
      <c r="K544" s="260"/>
      <c r="L544" s="260"/>
    </row>
    <row r="545" spans="1:13" ht="12.65" customHeight="1" x14ac:dyDescent="0.35">
      <c r="A545" s="180" t="s">
        <v>559</v>
      </c>
      <c r="B545" s="239">
        <f>'2018 Prior Year'!AZ71</f>
        <v>0</v>
      </c>
      <c r="C545" s="239">
        <f>AZ71</f>
        <v>0</v>
      </c>
      <c r="D545" s="239">
        <f>'2018 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5" customHeight="1" x14ac:dyDescent="0.35">
      <c r="A546" s="180" t="s">
        <v>560</v>
      </c>
      <c r="B546" s="239">
        <f>'2018 Prior Year'!BA71</f>
        <v>133852</v>
      </c>
      <c r="C546" s="239">
        <f>BA71</f>
        <v>158108.10999999999</v>
      </c>
      <c r="D546" s="239">
        <f>'2018 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5" customHeight="1" x14ac:dyDescent="0.35">
      <c r="A547" s="180" t="s">
        <v>561</v>
      </c>
      <c r="B547" s="239">
        <f>'2018 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5" customHeight="1" x14ac:dyDescent="0.35">
      <c r="A548" s="180" t="s">
        <v>562</v>
      </c>
      <c r="B548" s="239">
        <f>'2018 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5" customHeight="1" x14ac:dyDescent="0.35">
      <c r="A549" s="180" t="s">
        <v>563</v>
      </c>
      <c r="B549" s="239">
        <f>'2018 Prior Year'!BD71</f>
        <v>128093</v>
      </c>
      <c r="C549" s="239">
        <f>BD71</f>
        <v>156312.96999999997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5" customHeight="1" x14ac:dyDescent="0.35">
      <c r="A550" s="180" t="s">
        <v>564</v>
      </c>
      <c r="B550" s="239">
        <f>'2018 Prior Year'!BE71</f>
        <v>795394</v>
      </c>
      <c r="C550" s="239">
        <f>BE71</f>
        <v>914227.04</v>
      </c>
      <c r="D550" s="239">
        <f>'2018 Prior Year'!BE59</f>
        <v>82579</v>
      </c>
      <c r="E550" s="180">
        <f>BE59</f>
        <v>82579</v>
      </c>
      <c r="F550" s="262">
        <f t="shared" si="19"/>
        <v>9.6319161045786466</v>
      </c>
      <c r="G550" s="262">
        <f t="shared" si="19"/>
        <v>11.070938616355248</v>
      </c>
      <c r="H550" s="264" t="str">
        <f t="shared" si="16"/>
        <v/>
      </c>
      <c r="I550" s="266"/>
      <c r="K550" s="260"/>
      <c r="L550" s="260"/>
    </row>
    <row r="551" spans="1:13" ht="12.65" customHeight="1" x14ac:dyDescent="0.35">
      <c r="A551" s="180" t="s">
        <v>565</v>
      </c>
      <c r="B551" s="239">
        <f>'2018 Prior Year'!BF71</f>
        <v>476974</v>
      </c>
      <c r="C551" s="239">
        <f>BF71</f>
        <v>496136.75000000006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5" customHeight="1" x14ac:dyDescent="0.35">
      <c r="A552" s="180" t="s">
        <v>566</v>
      </c>
      <c r="B552" s="239">
        <f>'2018 Prior Year'!BG71</f>
        <v>134078.20000000001</v>
      </c>
      <c r="C552" s="239">
        <f>BG71</f>
        <v>134444.81000000003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5" customHeight="1" x14ac:dyDescent="0.35">
      <c r="A553" s="180" t="s">
        <v>567</v>
      </c>
      <c r="B553" s="239">
        <f>'2018 Prior Year'!BH71</f>
        <v>556663</v>
      </c>
      <c r="C553" s="239">
        <f>BH71</f>
        <v>1204335.8299999998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5" customHeight="1" x14ac:dyDescent="0.35">
      <c r="A554" s="180" t="s">
        <v>568</v>
      </c>
      <c r="B554" s="239">
        <f>'2018 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5" customHeight="1" x14ac:dyDescent="0.35">
      <c r="A555" s="180" t="s">
        <v>569</v>
      </c>
      <c r="B555" s="239">
        <f>'2018 Prior Year'!BJ71</f>
        <v>603507</v>
      </c>
      <c r="C555" s="239">
        <f>BJ71</f>
        <v>651616.97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5" customHeight="1" x14ac:dyDescent="0.35">
      <c r="A556" s="180" t="s">
        <v>570</v>
      </c>
      <c r="B556" s="239">
        <f>'2018 Prior Year'!BK71</f>
        <v>845453</v>
      </c>
      <c r="C556" s="239">
        <f>BK71</f>
        <v>1041764.4400000001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5" customHeight="1" x14ac:dyDescent="0.35">
      <c r="A557" s="180" t="s">
        <v>571</v>
      </c>
      <c r="B557" s="239">
        <f>'2018 Prior Year'!BL71</f>
        <v>307322</v>
      </c>
      <c r="C557" s="239">
        <f>BL71</f>
        <v>330001.99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5" customHeight="1" x14ac:dyDescent="0.35">
      <c r="A558" s="180" t="s">
        <v>572</v>
      </c>
      <c r="B558" s="239">
        <f>'2018 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5" customHeight="1" x14ac:dyDescent="0.35">
      <c r="A559" s="180" t="s">
        <v>573</v>
      </c>
      <c r="B559" s="239">
        <f>'2018 Prior Year'!BN71</f>
        <v>759900</v>
      </c>
      <c r="C559" s="239">
        <f>BN71</f>
        <v>880300.51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5" customHeight="1" x14ac:dyDescent="0.35">
      <c r="A560" s="180" t="s">
        <v>574</v>
      </c>
      <c r="B560" s="239">
        <f>'2018 Prior Year'!BO71</f>
        <v>42479</v>
      </c>
      <c r="C560" s="239">
        <f>BO71</f>
        <v>43057.61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5" customHeight="1" x14ac:dyDescent="0.35">
      <c r="A561" s="180" t="s">
        <v>575</v>
      </c>
      <c r="B561" s="239">
        <f>'2018 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5" customHeight="1" x14ac:dyDescent="0.35">
      <c r="A562" s="180" t="s">
        <v>576</v>
      </c>
      <c r="B562" s="239">
        <f>'2018 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5" customHeight="1" x14ac:dyDescent="0.35">
      <c r="A563" s="180" t="s">
        <v>577</v>
      </c>
      <c r="B563" s="239">
        <f>'2018 Prior Year'!BR71</f>
        <v>266260</v>
      </c>
      <c r="C563" s="239">
        <f>BR71</f>
        <v>367521.01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5" customHeight="1" x14ac:dyDescent="0.35">
      <c r="A564" s="180" t="s">
        <v>1249</v>
      </c>
      <c r="B564" s="239">
        <f>'2018 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5" customHeight="1" x14ac:dyDescent="0.35">
      <c r="A565" s="180" t="s">
        <v>578</v>
      </c>
      <c r="B565" s="239">
        <f>'2018 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5" customHeight="1" x14ac:dyDescent="0.35">
      <c r="A566" s="180" t="s">
        <v>579</v>
      </c>
      <c r="B566" s="239">
        <f>'2018 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5" customHeight="1" x14ac:dyDescent="0.35">
      <c r="A567" s="180" t="s">
        <v>580</v>
      </c>
      <c r="B567" s="239">
        <f>'2018 Prior Year'!BV71</f>
        <v>583955.4</v>
      </c>
      <c r="C567" s="239">
        <f>BV71</f>
        <v>643684.12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5" customHeight="1" x14ac:dyDescent="0.35">
      <c r="A568" s="180" t="s">
        <v>581</v>
      </c>
      <c r="B568" s="239">
        <f>'2018 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5" customHeight="1" x14ac:dyDescent="0.35">
      <c r="A569" s="180" t="s">
        <v>582</v>
      </c>
      <c r="B569" s="239">
        <f>'2018 Prior Year'!BX71</f>
        <v>94281</v>
      </c>
      <c r="C569" s="239">
        <f>BX71</f>
        <v>107485.94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5" customHeight="1" x14ac:dyDescent="0.35">
      <c r="A570" s="180" t="s">
        <v>583</v>
      </c>
      <c r="B570" s="239">
        <f>'2018 Prior Year'!BY71</f>
        <v>280286</v>
      </c>
      <c r="C570" s="239">
        <f>BY71</f>
        <v>325253.56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5" customHeight="1" x14ac:dyDescent="0.35">
      <c r="A571" s="180" t="s">
        <v>584</v>
      </c>
      <c r="B571" s="239">
        <f>'2018 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5" customHeight="1" x14ac:dyDescent="0.35">
      <c r="A572" s="180" t="s">
        <v>585</v>
      </c>
      <c r="B572" s="239">
        <f>'2018 Prior Year'!CA71</f>
        <v>71535</v>
      </c>
      <c r="C572" s="239">
        <f>CA71</f>
        <v>119049.32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5" customHeight="1" x14ac:dyDescent="0.35">
      <c r="A573" s="180" t="s">
        <v>586</v>
      </c>
      <c r="B573" s="239">
        <f>'2018 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5" customHeight="1" x14ac:dyDescent="0.35">
      <c r="A574" s="180" t="s">
        <v>587</v>
      </c>
      <c r="B574" s="239">
        <f>'2018 Prior Year'!CC71</f>
        <v>30696</v>
      </c>
      <c r="C574" s="239">
        <f>CC71</f>
        <v>37002.659999999996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5" customHeight="1" x14ac:dyDescent="0.35">
      <c r="A575" s="180" t="s">
        <v>588</v>
      </c>
      <c r="B575" s="239">
        <f>'2018 Prior Year'!CD71</f>
        <v>676560.96999999986</v>
      </c>
      <c r="C575" s="239">
        <f>CD71</f>
        <v>280151.04999999993</v>
      </c>
      <c r="D575" s="181" t="s">
        <v>529</v>
      </c>
      <c r="E575" s="181" t="s">
        <v>529</v>
      </c>
      <c r="F575" s="262"/>
      <c r="G575" s="262"/>
      <c r="H575" s="264"/>
    </row>
    <row r="576" spans="1:13" ht="12.65" customHeight="1" x14ac:dyDescent="0.35">
      <c r="M576" s="264"/>
    </row>
    <row r="577" spans="13:13" ht="12.65" customHeight="1" x14ac:dyDescent="0.35">
      <c r="M577" s="264"/>
    </row>
    <row r="578" spans="13:13" ht="12.65" customHeight="1" x14ac:dyDescent="0.35">
      <c r="M578" s="264"/>
    </row>
    <row r="612" spans="1:14" ht="12.65" customHeight="1" x14ac:dyDescent="0.35">
      <c r="A612" s="196"/>
      <c r="C612" s="181" t="s">
        <v>589</v>
      </c>
      <c r="D612" s="180">
        <f>CE76-(BE76+CD76)</f>
        <v>57696</v>
      </c>
      <c r="E612" s="180">
        <f>SUM(C624:D647)+SUM(C668:D713)</f>
        <v>33822114.745098278</v>
      </c>
      <c r="F612" s="180">
        <f>CE64-(AX64+BD64+BE64+BG64+BJ64+BN64+BP64+BQ64+CB64+CC64+CD64)</f>
        <v>4900861.93</v>
      </c>
      <c r="G612" s="180">
        <f>CE77-(AX77+AY77+BD77+BE77+BG77+BJ77+BN77+BP77+BQ77+CB77+CC77+CD77)</f>
        <v>8303</v>
      </c>
      <c r="H612" s="197">
        <f>CE60-(AX60+AY60+AZ60+BD60+BE60+BG60+BJ60+BN60+BO60+BP60+BQ60+BR60+CB60+CC60+CD60)</f>
        <v>190.73000000000002</v>
      </c>
      <c r="I612" s="180">
        <f>CE78-(AX78+AY78+AZ78+BD78+BE78+BF78+BG78+BJ78+BN78+BO78+BP78+BQ78+BR78+CB78+CC78+CD78)</f>
        <v>17622.23</v>
      </c>
      <c r="J612" s="180">
        <f>CE79-(AX79+AY79+AZ79+BA79+BD79+BE79+BF79+BG79+BJ79+BN79+BO79+BP79+BQ79+BR79+CB79+CC79+CD79)</f>
        <v>137744</v>
      </c>
      <c r="K612" s="180">
        <f>CE75-(AW75+AX75+AY75+AZ75+BA75+BB75+BC75+BD75+BE75+BF75+BG75+BH75+BI75+BJ75+BK75+BL75+BM75+BN75+BO75+BP75+BQ75+BR75+BS75+BT75+BU75+BV75+BW75+BX75+CB75+CC75+CD75)</f>
        <v>75689087.709999993</v>
      </c>
      <c r="L612" s="197">
        <f>CE80-(AW80+AX80+AY80+AZ80+BA80+BB80+BC80+BD80+BE80+BF80+BG80+BH80+BI80+BJ80+BK80+BL80+BM80+BN80+BO80+BP80+BQ80+BR80+BS80+BT80+BU80+BV80+BW80+BX80+BY80+BZ80+CA80+CB80+CC80+CD80)</f>
        <v>50.12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914227.04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280151.04999999993</v>
      </c>
      <c r="D615" s="265">
        <f>SUM(C614:C615)</f>
        <v>1194378.0899999999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651616.97</v>
      </c>
      <c r="D617" s="180">
        <f>(D615/D612)*BJ76</f>
        <v>12731.2556390391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134444.81000000003</v>
      </c>
      <c r="D618" s="180">
        <f>(D615/D612)*BG76</f>
        <v>6044.7587749584018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880300.51</v>
      </c>
      <c r="D619" s="180">
        <f>(D615/D612)*BN76</f>
        <v>16519.580487728785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37002.659999999996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1738660.5449017263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156312.96999999997</v>
      </c>
      <c r="D624" s="180">
        <f>(D615/D612)*BD76</f>
        <v>7100.5214377079865</v>
      </c>
      <c r="E624" s="180">
        <f>(E623/E612)*SUM(C624:D624)</f>
        <v>8400.4383584132775</v>
      </c>
      <c r="F624" s="180">
        <f>SUM(C624:E624)</f>
        <v>171813.92979612126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595597.68000000017</v>
      </c>
      <c r="D625" s="180">
        <f>(D615/D612)*AY76</f>
        <v>44590.446579658899</v>
      </c>
      <c r="E625" s="180">
        <f>(E623/E612)*SUM(C625:D625)</f>
        <v>32909.528141196985</v>
      </c>
      <c r="F625" s="180">
        <f>(F624/F612)*AY64</f>
        <v>6503.3022404891408</v>
      </c>
      <c r="G625" s="180">
        <f>SUM(C625:F625)</f>
        <v>679600.95696134516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367521.01</v>
      </c>
      <c r="D626" s="180">
        <f>(D615/D612)*BR76</f>
        <v>6686.4968640806983</v>
      </c>
      <c r="E626" s="180">
        <f>(E623/E612)*SUM(C626:D626)</f>
        <v>19236.521213828331</v>
      </c>
      <c r="F626" s="180">
        <f>(F624/F612)*BR64</f>
        <v>49.474059732914021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43057.61</v>
      </c>
      <c r="D627" s="180">
        <f>(D615/D612)*BO76</f>
        <v>0</v>
      </c>
      <c r="E627" s="180">
        <f>(E623/E612)*SUM(C627:D627)</f>
        <v>2213.4206636388872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438764.5328012809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496136.75000000006</v>
      </c>
      <c r="D629" s="180">
        <f>(D615/D612)*BF76</f>
        <v>7245.430038477537</v>
      </c>
      <c r="E629" s="180">
        <f>(E623/E612)*SUM(C629:D629)</f>
        <v>25876.877955017866</v>
      </c>
      <c r="F629" s="180">
        <f>(F624/F612)*BF64</f>
        <v>1015.9656855740405</v>
      </c>
      <c r="G629" s="180">
        <f>(G625/G612)*BF77</f>
        <v>0</v>
      </c>
      <c r="H629" s="180">
        <f>(H628/H612)*BF60</f>
        <v>22498.385837553225</v>
      </c>
      <c r="I629" s="180">
        <f>SUM(C629:H629)</f>
        <v>552773.40951662266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158108.10999999999</v>
      </c>
      <c r="D630" s="180">
        <f>(D615/D612)*BA76</f>
        <v>10474.821712770381</v>
      </c>
      <c r="E630" s="180">
        <f>(E623/E612)*SUM(C630:D630)</f>
        <v>8666.1787449389176</v>
      </c>
      <c r="F630" s="180">
        <f>(F624/F612)*BA64</f>
        <v>0.10517370143263019</v>
      </c>
      <c r="G630" s="180">
        <f>(G625/G612)*BA77</f>
        <v>0</v>
      </c>
      <c r="H630" s="180">
        <f>(H628/H612)*BA60</f>
        <v>0</v>
      </c>
      <c r="I630" s="180">
        <f>(I629/I612)*BA78</f>
        <v>11826.34835976815</v>
      </c>
      <c r="J630" s="180">
        <f>SUM(C630:I630)</f>
        <v>189075.56399117887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1041764.4400000001</v>
      </c>
      <c r="D635" s="180">
        <f>(D615/D612)*BK76</f>
        <v>36289.25387843178</v>
      </c>
      <c r="E635" s="180">
        <f>(E623/E612)*SUM(C635:D635)</f>
        <v>55418.457330603167</v>
      </c>
      <c r="F635" s="180">
        <f>(F624/F612)*BK64</f>
        <v>1682.445121130532</v>
      </c>
      <c r="G635" s="180">
        <f>(G625/G612)*BK77</f>
        <v>0</v>
      </c>
      <c r="H635" s="180">
        <f>(H628/H612)*BK60</f>
        <v>27490.35897328845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1204335.8299999998</v>
      </c>
      <c r="D636" s="180">
        <f>(D615/D612)*BH76</f>
        <v>13497.201100249584</v>
      </c>
      <c r="E636" s="180">
        <f>(E623/E612)*SUM(C636:D636)</f>
        <v>62603.957718490907</v>
      </c>
      <c r="F636" s="180">
        <f>(F624/F612)*BH64</f>
        <v>1783.9496626991825</v>
      </c>
      <c r="G636" s="180">
        <f>(G625/G612)*BH77</f>
        <v>0</v>
      </c>
      <c r="H636" s="180">
        <f>(H628/H612)*BH60</f>
        <v>9224.7982830867531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330001.99</v>
      </c>
      <c r="D637" s="180">
        <f>(D615/D612)*BL76</f>
        <v>5216.7096277038263</v>
      </c>
      <c r="E637" s="180">
        <f>(E623/E612)*SUM(C637:D637)</f>
        <v>17232.261535048438</v>
      </c>
      <c r="F637" s="180">
        <f>(F624/F612)*BL64</f>
        <v>300.28388901333591</v>
      </c>
      <c r="G637" s="180">
        <f>(G625/G612)*BL77</f>
        <v>0</v>
      </c>
      <c r="H637" s="180">
        <f>(H628/H612)*BL60</f>
        <v>11732.287093202604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643684.12</v>
      </c>
      <c r="D642" s="180">
        <f>(D615/D612)*BV76</f>
        <v>31217.452851497503</v>
      </c>
      <c r="E642" s="180">
        <f>(E623/E612)*SUM(C642:D642)</f>
        <v>34694.008498657735</v>
      </c>
      <c r="F642" s="180">
        <f>(F624/F612)*BV64</f>
        <v>143.26971956555749</v>
      </c>
      <c r="G642" s="180">
        <f>(G625/G612)*BV77</f>
        <v>0</v>
      </c>
      <c r="H642" s="180">
        <f>(H628/H612)*BV60</f>
        <v>20473.991201863366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107485.94</v>
      </c>
      <c r="D644" s="180">
        <f>(D615/D612)*BX76</f>
        <v>0</v>
      </c>
      <c r="E644" s="180">
        <f>(E623/E612)*SUM(C644:D644)</f>
        <v>5525.4251373136967</v>
      </c>
      <c r="F644" s="180">
        <f>(F624/F612)*BX64</f>
        <v>0</v>
      </c>
      <c r="G644" s="180">
        <f>(G625/G612)*BX77</f>
        <v>0</v>
      </c>
      <c r="H644" s="180">
        <f>(H628/H612)*BX60</f>
        <v>2507.4888101158508</v>
      </c>
      <c r="I644" s="180">
        <f>(I629/I612)*BX78</f>
        <v>0</v>
      </c>
      <c r="J644" s="180">
        <f>(J630/J612)*BX79</f>
        <v>0</v>
      </c>
      <c r="K644" s="180">
        <f>SUM(C631:J644)</f>
        <v>3664305.9204319632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325253.56</v>
      </c>
      <c r="D645" s="180">
        <f>(D615/D612)*BY76</f>
        <v>5485.825600561564</v>
      </c>
      <c r="E645" s="180">
        <f>(E623/E612)*SUM(C645:D645)</f>
        <v>17001.997797079603</v>
      </c>
      <c r="F645" s="180">
        <f>(F624/F612)*BY64</f>
        <v>42.130831898887777</v>
      </c>
      <c r="G645" s="180">
        <f>(G625/G612)*BY77</f>
        <v>0</v>
      </c>
      <c r="H645" s="180">
        <f>(H628/H612)*BY60</f>
        <v>5360.0448876788369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119049.32</v>
      </c>
      <c r="D647" s="180">
        <f>(D615/D612)*CA76</f>
        <v>58750.08699771214</v>
      </c>
      <c r="E647" s="180">
        <f>(E623/E612)*SUM(C647:D647)</f>
        <v>9139.9611225861499</v>
      </c>
      <c r="F647" s="180">
        <f>(F624/F612)*CA64</f>
        <v>532.8765814686119</v>
      </c>
      <c r="G647" s="180">
        <f>(G625/G612)*CA77</f>
        <v>0</v>
      </c>
      <c r="H647" s="180">
        <f>(H628/H612)*CA60</f>
        <v>851.16592636960058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541466.96974535543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8486052.370000001</v>
      </c>
      <c r="L648" s="265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3432338.8000000003</v>
      </c>
      <c r="D670" s="180">
        <f>(D615/D612)*E76</f>
        <v>128430.42273918468</v>
      </c>
      <c r="E670" s="180">
        <f>(E623/E612)*SUM(C670:D670)</f>
        <v>183044.99892261298</v>
      </c>
      <c r="F670" s="180">
        <f>(F624/F612)*E64</f>
        <v>2756.0768460420741</v>
      </c>
      <c r="G670" s="180">
        <f>(G625/G612)*E77</f>
        <v>482506.03893618332</v>
      </c>
      <c r="H670" s="180">
        <f>(H628/H612)*E60</f>
        <v>68645.381737483462</v>
      </c>
      <c r="I670" s="180">
        <f>(I629/I612)*E78</f>
        <v>152351.04596190632</v>
      </c>
      <c r="J670" s="180">
        <f>(J630/J612)*E79</f>
        <v>97681.171482897771</v>
      </c>
      <c r="K670" s="180">
        <f>(K644/K612)*E75</f>
        <v>232298.76942250304</v>
      </c>
      <c r="L670" s="180">
        <f>(L647/L612)*E80</f>
        <v>161510.99755971794</v>
      </c>
      <c r="M670" s="180">
        <f t="shared" si="20"/>
        <v>1509225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624</v>
      </c>
      <c r="D675" s="180">
        <f>(D615/D612)*J76</f>
        <v>2939.5744727537435</v>
      </c>
      <c r="E675" s="180">
        <f>(E623/E612)*SUM(C675:D675)</f>
        <v>183.18920568069589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19965.278499211192</v>
      </c>
      <c r="L675" s="180">
        <f>(L647/L612)*J80</f>
        <v>0</v>
      </c>
      <c r="M675" s="180">
        <f t="shared" si="20"/>
        <v>23088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1406013.5100000002</v>
      </c>
      <c r="D680" s="180">
        <f>(D615/D612)*O76</f>
        <v>36516.967393926789</v>
      </c>
      <c r="E680" s="180">
        <f>(E623/E612)*SUM(C680:D680)</f>
        <v>74154.760716922901</v>
      </c>
      <c r="F680" s="180">
        <f>(F624/F612)*O64</f>
        <v>1764.1696446707476</v>
      </c>
      <c r="G680" s="180">
        <f>(G625/G612)*O77</f>
        <v>197094.9180251619</v>
      </c>
      <c r="H680" s="180">
        <f>(H628/H612)*O60</f>
        <v>14906.90595371625</v>
      </c>
      <c r="I680" s="180">
        <f>(I629/I612)*O78</f>
        <v>32348.522649977462</v>
      </c>
      <c r="J680" s="180">
        <f>(J630/J612)*O79</f>
        <v>10020.411902773301</v>
      </c>
      <c r="K680" s="180">
        <f>(K644/K612)*O75</f>
        <v>69892.609049387174</v>
      </c>
      <c r="L680" s="180">
        <f>(L647/L612)*O80</f>
        <v>60715.170989004342</v>
      </c>
      <c r="M680" s="180">
        <f t="shared" si="20"/>
        <v>497414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1749142.54</v>
      </c>
      <c r="D681" s="180">
        <f>(D615/D612)*P76</f>
        <v>84564.519163373538</v>
      </c>
      <c r="E681" s="180">
        <f>(E623/E612)*SUM(C681:D681)</f>
        <v>94263.594654062457</v>
      </c>
      <c r="F681" s="180">
        <f>(F624/F612)*P64</f>
        <v>10892.270917073754</v>
      </c>
      <c r="G681" s="180">
        <f>(G625/G612)*P77</f>
        <v>0</v>
      </c>
      <c r="H681" s="180">
        <f>(H628/H612)*P60</f>
        <v>23625.605577880535</v>
      </c>
      <c r="I681" s="180">
        <f>(I629/I612)*P78</f>
        <v>44522.741688515511</v>
      </c>
      <c r="J681" s="180">
        <f>(J630/J612)*P79</f>
        <v>54357.302924633259</v>
      </c>
      <c r="K681" s="180">
        <f>(K644/K612)*P75</f>
        <v>310483.03198957059</v>
      </c>
      <c r="L681" s="180">
        <f>(L647/L612)*P80</f>
        <v>40296.723805869427</v>
      </c>
      <c r="M681" s="180">
        <f t="shared" si="20"/>
        <v>663006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692903.9</v>
      </c>
      <c r="D682" s="180">
        <f>(D615/D612)*Q76</f>
        <v>25069.187933132278</v>
      </c>
      <c r="E682" s="180">
        <f>(E623/E612)*SUM(C682:D682)</f>
        <v>36908.143967299038</v>
      </c>
      <c r="F682" s="180">
        <f>(F624/F612)*Q64</f>
        <v>518.34262766763675</v>
      </c>
      <c r="G682" s="180">
        <f>(G625/G612)*Q77</f>
        <v>0</v>
      </c>
      <c r="H682" s="180">
        <f>(H628/H612)*Q60</f>
        <v>12491.4350815863</v>
      </c>
      <c r="I682" s="180">
        <f>(I629/I612)*Q78</f>
        <v>26956.99764844717</v>
      </c>
      <c r="J682" s="180">
        <f>(J630/J612)*Q79</f>
        <v>0</v>
      </c>
      <c r="K682" s="180">
        <f>(K644/K612)*Q75</f>
        <v>96689.892305556597</v>
      </c>
      <c r="L682" s="180">
        <f>(L647/L612)*Q80</f>
        <v>50992.100901797239</v>
      </c>
      <c r="M682" s="180">
        <f t="shared" si="20"/>
        <v>249626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864971.33000000007</v>
      </c>
      <c r="D683" s="180">
        <f>(D615/D612)*R76</f>
        <v>0</v>
      </c>
      <c r="E683" s="180">
        <f>(E623/E612)*SUM(C683:D683)</f>
        <v>44464.739572800507</v>
      </c>
      <c r="F683" s="180">
        <f>(F624/F612)*R64</f>
        <v>288.66710311109711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93224.164614098612</v>
      </c>
      <c r="L683" s="180">
        <f>(L647/L612)*R80</f>
        <v>0</v>
      </c>
      <c r="M683" s="180">
        <f t="shared" si="20"/>
        <v>137978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2252568.0300000003</v>
      </c>
      <c r="D684" s="180">
        <f>(D615/D612)*S76</f>
        <v>33701.600293261232</v>
      </c>
      <c r="E684" s="180">
        <f>(E623/E612)*SUM(C684:D684)</f>
        <v>117528.0384197159</v>
      </c>
      <c r="F684" s="180">
        <f>(F624/F612)*S64</f>
        <v>75242.140699520562</v>
      </c>
      <c r="G684" s="180">
        <f>(G625/G612)*S77</f>
        <v>0</v>
      </c>
      <c r="H684" s="180">
        <f>(H628/H612)*S60</f>
        <v>4439.865507819809</v>
      </c>
      <c r="I684" s="180">
        <f>(I629/I612)*S78</f>
        <v>5565.3035011141719</v>
      </c>
      <c r="J684" s="180">
        <f>(J630/J612)*S79</f>
        <v>0</v>
      </c>
      <c r="K684" s="180">
        <f>(K644/K612)*S75</f>
        <v>370277.1884290296</v>
      </c>
      <c r="L684" s="180">
        <f>(L647/L612)*S80</f>
        <v>0</v>
      </c>
      <c r="M684" s="180">
        <f t="shared" si="20"/>
        <v>606754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1742773.33</v>
      </c>
      <c r="D686" s="180">
        <f>(D615/D612)*U76</f>
        <v>25110.590390495006</v>
      </c>
      <c r="E686" s="180">
        <f>(E623/E612)*SUM(C686:D686)</f>
        <v>90879.888602903113</v>
      </c>
      <c r="F686" s="180">
        <f>(F624/F612)*U64</f>
        <v>25883.395866910305</v>
      </c>
      <c r="G686" s="180">
        <f>(G625/G612)*U77</f>
        <v>0</v>
      </c>
      <c r="H686" s="180">
        <f>(H628/H612)*U60</f>
        <v>22452.376868560277</v>
      </c>
      <c r="I686" s="180">
        <f>(I629/I612)*U78</f>
        <v>22956.955361996494</v>
      </c>
      <c r="J686" s="180">
        <f>(J630/J612)*U79</f>
        <v>0</v>
      </c>
      <c r="K686" s="180">
        <f>(K644/K612)*U75</f>
        <v>301522.38017281488</v>
      </c>
      <c r="L686" s="180">
        <f>(L647/L612)*U80</f>
        <v>0</v>
      </c>
      <c r="M686" s="180">
        <f t="shared" si="20"/>
        <v>488806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3096169.19</v>
      </c>
      <c r="D690" s="180">
        <f>(D615/D612)*Y76</f>
        <v>114767.61180948418</v>
      </c>
      <c r="E690" s="180">
        <f>(E623/E612)*SUM(C690:D690)</f>
        <v>165061.50403526053</v>
      </c>
      <c r="F690" s="180">
        <f>(F624/F612)*Y64</f>
        <v>10681.192907562541</v>
      </c>
      <c r="G690" s="180">
        <f>(G625/G612)*Y77</f>
        <v>0</v>
      </c>
      <c r="H690" s="180">
        <f>(H628/H612)*Y60</f>
        <v>24798.834287200796</v>
      </c>
      <c r="I690" s="180">
        <f>(I629/I612)*Y78</f>
        <v>23530.989033907153</v>
      </c>
      <c r="J690" s="180">
        <f>(J630/J612)*Y79</f>
        <v>1767.9850042153444</v>
      </c>
      <c r="K690" s="180">
        <f>(K644/K612)*Y75</f>
        <v>862316.85287579545</v>
      </c>
      <c r="L690" s="180">
        <f>(L647/L612)*Y80</f>
        <v>2592.8186899218936</v>
      </c>
      <c r="M690" s="180">
        <f t="shared" si="20"/>
        <v>1205518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538786.20000000007</v>
      </c>
      <c r="D693" s="180">
        <f>(D615/D612)*AB76</f>
        <v>12172.322464642262</v>
      </c>
      <c r="E693" s="180">
        <f>(E623/E612)*SUM(C693:D693)</f>
        <v>28322.588699911332</v>
      </c>
      <c r="F693" s="180">
        <f>(F624/F612)*AB64</f>
        <v>18669.8033843749</v>
      </c>
      <c r="G693" s="180">
        <f>(G625/G612)*AB77</f>
        <v>0</v>
      </c>
      <c r="H693" s="180">
        <f>(H628/H612)*AB60</f>
        <v>4807.9372597634192</v>
      </c>
      <c r="I693" s="180">
        <f>(I629/I612)*AB78</f>
        <v>6782.6940370077637</v>
      </c>
      <c r="J693" s="180">
        <f>(J630/J612)*AB79</f>
        <v>0</v>
      </c>
      <c r="K693" s="180">
        <f>(K644/K612)*AB75</f>
        <v>188704.07874165833</v>
      </c>
      <c r="L693" s="180">
        <f>(L647/L612)*AB80</f>
        <v>0</v>
      </c>
      <c r="M693" s="180">
        <f t="shared" si="20"/>
        <v>259459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369708.52</v>
      </c>
      <c r="D694" s="180">
        <f>(D615/D612)*AC76</f>
        <v>8156.2841004575703</v>
      </c>
      <c r="E694" s="180">
        <f>(E623/E612)*SUM(C694:D694)</f>
        <v>19424.528334429451</v>
      </c>
      <c r="F694" s="180">
        <f>(F624/F612)*AC64</f>
        <v>1232.5986194159198</v>
      </c>
      <c r="G694" s="180">
        <f>(G625/G612)*AC77</f>
        <v>0</v>
      </c>
      <c r="H694" s="180">
        <f>(H628/H612)*AC60</f>
        <v>6901.3453489427084</v>
      </c>
      <c r="I694" s="180">
        <f>(I629/I612)*AC78</f>
        <v>4695.7836439904831</v>
      </c>
      <c r="J694" s="180">
        <f>(J630/J612)*AC79</f>
        <v>0</v>
      </c>
      <c r="K694" s="180">
        <f>(K644/K612)*AC75</f>
        <v>47474.0135520724</v>
      </c>
      <c r="L694" s="180">
        <f>(L647/L612)*AC80</f>
        <v>0</v>
      </c>
      <c r="M694" s="180">
        <f t="shared" si="20"/>
        <v>87885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729182.44000000018</v>
      </c>
      <c r="D696" s="180">
        <f>(D615/D612)*AE76</f>
        <v>60944.417237936766</v>
      </c>
      <c r="E696" s="180">
        <f>(E623/E612)*SUM(C696:D696)</f>
        <v>40617.282582718886</v>
      </c>
      <c r="F696" s="180">
        <f>(F624/F612)*AE64</f>
        <v>602.09069322341622</v>
      </c>
      <c r="G696" s="180">
        <f>(G625/G612)*AE77</f>
        <v>0</v>
      </c>
      <c r="H696" s="180">
        <f>(H628/H612)*AE60</f>
        <v>17184.349918867341</v>
      </c>
      <c r="I696" s="180">
        <f>(I629/I612)*AE78</f>
        <v>8869.6044300250433</v>
      </c>
      <c r="J696" s="180">
        <f>(J630/J612)*AE79</f>
        <v>0</v>
      </c>
      <c r="K696" s="180">
        <f>(K644/K612)*AE75</f>
        <v>99938.908715902144</v>
      </c>
      <c r="L696" s="180">
        <f>(L647/L612)*AE80</f>
        <v>0</v>
      </c>
      <c r="M696" s="180">
        <f t="shared" si="20"/>
        <v>228157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4159208.3100000005</v>
      </c>
      <c r="D698" s="180">
        <f>(D615/D612)*AG76</f>
        <v>74545.124481593171</v>
      </c>
      <c r="E698" s="180">
        <f>(E623/E612)*SUM(C698:D698)</f>
        <v>217640.44350426478</v>
      </c>
      <c r="F698" s="180">
        <f>(F624/F612)*AG64</f>
        <v>3613.9699641529191</v>
      </c>
      <c r="G698" s="180">
        <f>(G625/G612)*AG77</f>
        <v>0</v>
      </c>
      <c r="H698" s="180">
        <f>(H628/H612)*AG60</f>
        <v>50747.892799225374</v>
      </c>
      <c r="I698" s="180">
        <f>(I629/I612)*AG78</f>
        <v>153394.65799821605</v>
      </c>
      <c r="J698" s="180">
        <f>(J630/J612)*AG79</f>
        <v>25248.692676659193</v>
      </c>
      <c r="K698" s="180">
        <f>(K644/K612)*AG75</f>
        <v>554419.20456652809</v>
      </c>
      <c r="L698" s="180">
        <f>(L647/L612)*AG80</f>
        <v>96798.564423750708</v>
      </c>
      <c r="M698" s="180">
        <f t="shared" si="20"/>
        <v>1176409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6040332.8200000003</v>
      </c>
      <c r="D707" s="180">
        <f>(D615/D612)*AP76</f>
        <v>325609.62592918053</v>
      </c>
      <c r="E707" s="180">
        <f>(E623/E612)*SUM(C707:D707)</f>
        <v>327247.80946632958</v>
      </c>
      <c r="F707" s="180">
        <f>(F624/F612)*AP64</f>
        <v>7615.4075571217527</v>
      </c>
      <c r="G707" s="180">
        <f>(G625/G612)*AP77</f>
        <v>0</v>
      </c>
      <c r="H707" s="180">
        <f>(H628/H612)*AP60</f>
        <v>87624.081447075921</v>
      </c>
      <c r="I707" s="180">
        <f>(I629/I612)*AP78</f>
        <v>58971.765201750895</v>
      </c>
      <c r="J707" s="180">
        <f>(J630/J612)*AP79</f>
        <v>0</v>
      </c>
      <c r="K707" s="180">
        <f>(K644/K612)*AP75</f>
        <v>417099.54749783565</v>
      </c>
      <c r="L707" s="180">
        <f>(L647/L612)*AP80</f>
        <v>128560.5933752939</v>
      </c>
      <c r="M707" s="180">
        <f t="shared" si="20"/>
        <v>1352729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35560775.290000007</v>
      </c>
      <c r="D715" s="180">
        <f>SUM(D616:D647)+SUM(D668:D713)</f>
        <v>1194378.0899999999</v>
      </c>
      <c r="E715" s="180">
        <f>SUM(E624:E647)+SUM(E668:E713)</f>
        <v>1738660.5449017263</v>
      </c>
      <c r="F715" s="180">
        <f>SUM(F625:F648)+SUM(F668:F713)</f>
        <v>171813.92979612126</v>
      </c>
      <c r="G715" s="180">
        <f>SUM(G626:G647)+SUM(G668:G713)</f>
        <v>679600.95696134516</v>
      </c>
      <c r="H715" s="180">
        <f>SUM(H629:H647)+SUM(H668:H713)</f>
        <v>438764.53280128085</v>
      </c>
      <c r="I715" s="180">
        <f>SUM(I630:I647)+SUM(I668:I713)</f>
        <v>552773.40951662266</v>
      </c>
      <c r="J715" s="180">
        <f>SUM(J631:J647)+SUM(J668:J713)</f>
        <v>189075.56399117887</v>
      </c>
      <c r="K715" s="180">
        <f>SUM(K668:K713)</f>
        <v>3664305.9204319641</v>
      </c>
      <c r="L715" s="180">
        <f>SUM(L668:L713)</f>
        <v>541466.96974535543</v>
      </c>
      <c r="M715" s="180">
        <f>SUM(M668:M713)</f>
        <v>8486054</v>
      </c>
      <c r="N715" s="198" t="s">
        <v>742</v>
      </c>
    </row>
    <row r="716" spans="1:83" ht="12.65" customHeight="1" x14ac:dyDescent="0.35">
      <c r="C716" s="180">
        <f>CE71</f>
        <v>35560775.289999999</v>
      </c>
      <c r="D716" s="180">
        <f>D615</f>
        <v>1194378.0899999999</v>
      </c>
      <c r="E716" s="180">
        <f>E623</f>
        <v>1738660.5449017263</v>
      </c>
      <c r="F716" s="180">
        <f>F624</f>
        <v>171813.92979612126</v>
      </c>
      <c r="G716" s="180">
        <f>G625</f>
        <v>679600.95696134516</v>
      </c>
      <c r="H716" s="180">
        <f>H628</f>
        <v>438764.5328012809</v>
      </c>
      <c r="I716" s="180">
        <f>I629</f>
        <v>552773.40951662266</v>
      </c>
      <c r="J716" s="180">
        <f>J630</f>
        <v>189075.56399117887</v>
      </c>
      <c r="K716" s="180">
        <f>K644</f>
        <v>3664305.9204319632</v>
      </c>
      <c r="L716" s="180">
        <f>L647</f>
        <v>541466.96974535543</v>
      </c>
      <c r="M716" s="180">
        <f>C648</f>
        <v>8486052.370000001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147*2019*A</v>
      </c>
      <c r="B722" s="275">
        <f>ROUND(C165,0)</f>
        <v>1108793</v>
      </c>
      <c r="C722" s="275">
        <f>ROUND(C166,0)</f>
        <v>20201</v>
      </c>
      <c r="D722" s="275">
        <f>ROUND(C167,0)</f>
        <v>316060</v>
      </c>
      <c r="E722" s="275">
        <f>ROUND(C168,0)</f>
        <v>2397308</v>
      </c>
      <c r="F722" s="275">
        <f>ROUND(C169,0)</f>
        <v>38520</v>
      </c>
      <c r="G722" s="275">
        <f>ROUND(C170,0)</f>
        <v>262558</v>
      </c>
      <c r="H722" s="275">
        <f>ROUND(C171+C172,0)</f>
        <v>38885</v>
      </c>
      <c r="I722" s="275">
        <f>ROUND(C175,0)</f>
        <v>2600</v>
      </c>
      <c r="J722" s="275">
        <f>ROUND(C176,0)</f>
        <v>424029</v>
      </c>
      <c r="K722" s="275">
        <f>ROUND(C179,0)</f>
        <v>418488</v>
      </c>
      <c r="L722" s="275">
        <f>ROUND(C180,0)</f>
        <v>54687</v>
      </c>
      <c r="M722" s="275">
        <f>ROUND(C183,0)</f>
        <v>30734</v>
      </c>
      <c r="N722" s="275">
        <f>ROUND(C184,0)</f>
        <v>191763</v>
      </c>
      <c r="O722" s="275">
        <f>ROUND(C185,0)</f>
        <v>0</v>
      </c>
      <c r="P722" s="275">
        <f>ROUND(C188,0)</f>
        <v>290107</v>
      </c>
      <c r="Q722" s="275">
        <f>ROUND(C189,0)</f>
        <v>0</v>
      </c>
      <c r="R722" s="275">
        <f>ROUND(B195,0)</f>
        <v>146306</v>
      </c>
      <c r="S722" s="275">
        <f>ROUND(C195,0)</f>
        <v>0</v>
      </c>
      <c r="T722" s="275">
        <f>ROUND(D195,0)</f>
        <v>0</v>
      </c>
      <c r="U722" s="275">
        <f>ROUND(B196,0)</f>
        <v>1128016</v>
      </c>
      <c r="V722" s="275">
        <f>ROUND(C196,0)</f>
        <v>0</v>
      </c>
      <c r="W722" s="275">
        <f>ROUND(D196,0)</f>
        <v>0</v>
      </c>
      <c r="X722" s="275">
        <f>ROUND(B197,0)</f>
        <v>7901929</v>
      </c>
      <c r="Y722" s="275">
        <f>ROUND(C197,0)</f>
        <v>0</v>
      </c>
      <c r="Z722" s="275">
        <f>ROUND(D197,0)</f>
        <v>0</v>
      </c>
      <c r="AA722" s="275">
        <f>ROUND(B198,0)</f>
        <v>5863312</v>
      </c>
      <c r="AB722" s="275">
        <f>ROUND(C198,0)</f>
        <v>0</v>
      </c>
      <c r="AC722" s="275">
        <f>ROUND(D198,0)</f>
        <v>3228</v>
      </c>
      <c r="AD722" s="275">
        <f>ROUND(B199,0)</f>
        <v>324083</v>
      </c>
      <c r="AE722" s="275">
        <f>ROUND(C199,0)</f>
        <v>0</v>
      </c>
      <c r="AF722" s="275">
        <f>ROUND(D199,0)</f>
        <v>34066</v>
      </c>
      <c r="AG722" s="275">
        <f>ROUND(B200,0)</f>
        <v>8211260</v>
      </c>
      <c r="AH722" s="275">
        <f>ROUND(C200,0)</f>
        <v>3326207</v>
      </c>
      <c r="AI722" s="275">
        <f>ROUND(D200,0)</f>
        <v>656945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723716</v>
      </c>
      <c r="AQ722" s="275">
        <f>ROUND(C203,0)</f>
        <v>466828</v>
      </c>
      <c r="AR722" s="275">
        <f>ROUND(D203,0)</f>
        <v>1136327</v>
      </c>
      <c r="AS722" s="275"/>
      <c r="AT722" s="275"/>
      <c r="AU722" s="275"/>
      <c r="AV722" s="275">
        <f>ROUND(B209,0)</f>
        <v>797965</v>
      </c>
      <c r="AW722" s="275">
        <f>ROUND(C209,0)</f>
        <v>33038</v>
      </c>
      <c r="AX722" s="275">
        <f>ROUND(D209,0)</f>
        <v>0</v>
      </c>
      <c r="AY722" s="275">
        <f>ROUND(B210,0)</f>
        <v>4287572</v>
      </c>
      <c r="AZ722" s="275">
        <f>ROUND(C210,0)</f>
        <v>295216</v>
      </c>
      <c r="BA722" s="275">
        <f>ROUND(D210,0)</f>
        <v>0</v>
      </c>
      <c r="BB722" s="275">
        <f>ROUND(B211,0)</f>
        <v>2600420</v>
      </c>
      <c r="BC722" s="275">
        <f>ROUND(C211,0)</f>
        <v>291179</v>
      </c>
      <c r="BD722" s="275">
        <f>ROUND(D211,0)</f>
        <v>3228</v>
      </c>
      <c r="BE722" s="275">
        <f>ROUND(B212,0)</f>
        <v>188665</v>
      </c>
      <c r="BF722" s="275">
        <f>ROUND(C212,0)</f>
        <v>11282</v>
      </c>
      <c r="BG722" s="275">
        <f>ROUND(D212,0)</f>
        <v>34066</v>
      </c>
      <c r="BH722" s="275">
        <f>ROUND(B213,0)</f>
        <v>6534181</v>
      </c>
      <c r="BI722" s="275">
        <f>ROUND(C213,0)</f>
        <v>787554</v>
      </c>
      <c r="BJ722" s="275">
        <f>ROUND(D213,0)</f>
        <v>656945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16055377</v>
      </c>
      <c r="BU722" s="275">
        <f>ROUND(C224,0)</f>
        <v>11540289</v>
      </c>
      <c r="BV722" s="275">
        <f>ROUND(C225,0)</f>
        <v>1037356</v>
      </c>
      <c r="BW722" s="275">
        <f>ROUND(C226,0)</f>
        <v>245742</v>
      </c>
      <c r="BX722" s="275">
        <f>ROUND(C227,0)</f>
        <v>4248116</v>
      </c>
      <c r="BY722" s="275">
        <f>ROUND(C228,0)</f>
        <v>0</v>
      </c>
      <c r="BZ722" s="275">
        <f>ROUND(C231,0)</f>
        <v>1565</v>
      </c>
      <c r="CA722" s="275">
        <f>ROUND(C233,0)</f>
        <v>166993</v>
      </c>
      <c r="CB722" s="275">
        <f>ROUND(C234,0)</f>
        <v>870883</v>
      </c>
      <c r="CC722" s="275">
        <f>ROUND(C238+C239,0)</f>
        <v>3895070</v>
      </c>
      <c r="CD722" s="275">
        <f>D221</f>
        <v>1830160.86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147*2019*A</v>
      </c>
      <c r="B726" s="275">
        <f>ROUND(C111,0)</f>
        <v>628</v>
      </c>
      <c r="C726" s="275">
        <f>ROUND(C112,0)</f>
        <v>0</v>
      </c>
      <c r="D726" s="275">
        <f>ROUND(C113,0)</f>
        <v>0</v>
      </c>
      <c r="E726" s="275">
        <f>ROUND(C114,0)</f>
        <v>232</v>
      </c>
      <c r="F726" s="275">
        <f>ROUND(D111,0)</f>
        <v>1605</v>
      </c>
      <c r="G726" s="275">
        <f>ROUND(D112,0)</f>
        <v>0</v>
      </c>
      <c r="H726" s="275">
        <f>ROUND(D113,0)</f>
        <v>0</v>
      </c>
      <c r="I726" s="275">
        <f>ROUND(D114,0)</f>
        <v>365</v>
      </c>
      <c r="J726" s="275">
        <f>ROUND(C116,0)</f>
        <v>0</v>
      </c>
      <c r="K726" s="275">
        <f>ROUND(C117,0)</f>
        <v>0</v>
      </c>
      <c r="L726" s="275">
        <f>ROUND(C118,0)</f>
        <v>25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44</v>
      </c>
      <c r="W726" s="275">
        <f>ROUND(C129,0)</f>
        <v>0</v>
      </c>
      <c r="X726" s="275">
        <f>ROUND(B138,0)</f>
        <v>253</v>
      </c>
      <c r="Y726" s="275">
        <f>ROUND(B139,0)</f>
        <v>788</v>
      </c>
      <c r="Z726" s="275">
        <f>ROUND(B140,0)</f>
        <v>10751</v>
      </c>
      <c r="AA726" s="275">
        <f>ROUND(B141,0)</f>
        <v>5229098</v>
      </c>
      <c r="AB726" s="275">
        <f>ROUND(B142,0)</f>
        <v>23713948</v>
      </c>
      <c r="AC726" s="275">
        <f>ROUND(C138,0)</f>
        <v>227</v>
      </c>
      <c r="AD726" s="275">
        <f>ROUND(C139,0)</f>
        <v>500</v>
      </c>
      <c r="AE726" s="275">
        <f>ROUND(C140,0)</f>
        <v>9405</v>
      </c>
      <c r="AF726" s="275">
        <f>ROUND(C141,0)</f>
        <v>3992345</v>
      </c>
      <c r="AG726" s="275">
        <f>ROUND(C142,0)</f>
        <v>18244990</v>
      </c>
      <c r="AH726" s="275">
        <f>ROUND(D138,0)</f>
        <v>148</v>
      </c>
      <c r="AI726" s="275">
        <f>ROUND(D139,0)</f>
        <v>317</v>
      </c>
      <c r="AJ726" s="275">
        <f>ROUND(D140,0)</f>
        <v>9882</v>
      </c>
      <c r="AK726" s="275">
        <f>ROUND(D141,0)</f>
        <v>2911780</v>
      </c>
      <c r="AL726" s="275">
        <f>ROUND(D142,0)</f>
        <v>21596925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8948027</v>
      </c>
      <c r="BR726" s="275">
        <f>ROUND(C157,0)</f>
        <v>3704934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147*2019*A</v>
      </c>
      <c r="B730" s="275">
        <f>ROUND(C250,0)</f>
        <v>2429902</v>
      </c>
      <c r="C730" s="275">
        <f>ROUND(C251,0)</f>
        <v>0</v>
      </c>
      <c r="D730" s="275">
        <f>ROUND(C252,0)</f>
        <v>15650980</v>
      </c>
      <c r="E730" s="275">
        <f>ROUND(C253,0)</f>
        <v>9690015</v>
      </c>
      <c r="F730" s="275">
        <f>ROUND(C254,0)</f>
        <v>1016354</v>
      </c>
      <c r="G730" s="275">
        <f>ROUND(C255,0)</f>
        <v>190747</v>
      </c>
      <c r="H730" s="275">
        <f>ROUND(C256,0)</f>
        <v>0</v>
      </c>
      <c r="I730" s="275">
        <f>ROUND(C257,0)</f>
        <v>775683</v>
      </c>
      <c r="J730" s="275">
        <f>ROUND(C258,0)</f>
        <v>163859</v>
      </c>
      <c r="K730" s="275">
        <f>ROUND(C259,0)</f>
        <v>0</v>
      </c>
      <c r="L730" s="275">
        <f>ROUND(C262,0)</f>
        <v>1279926</v>
      </c>
      <c r="M730" s="275">
        <f>ROUND(C263,0)</f>
        <v>0</v>
      </c>
      <c r="N730" s="275">
        <f>ROUND(C264,0)</f>
        <v>0</v>
      </c>
      <c r="O730" s="275">
        <f>ROUND(C267,0)</f>
        <v>146306</v>
      </c>
      <c r="P730" s="275">
        <f>ROUND(C268,0)</f>
        <v>1128016</v>
      </c>
      <c r="Q730" s="275">
        <f>ROUND(C269,0)</f>
        <v>7901929</v>
      </c>
      <c r="R730" s="275">
        <f>ROUND(C270,0)</f>
        <v>5860084</v>
      </c>
      <c r="S730" s="275">
        <f>ROUND(C271,0)</f>
        <v>290017</v>
      </c>
      <c r="T730" s="275">
        <f>ROUND(C272,0)</f>
        <v>10880522</v>
      </c>
      <c r="U730" s="275">
        <f>ROUND(C273,0)</f>
        <v>0</v>
      </c>
      <c r="V730" s="275">
        <f>ROUND(C274,0)</f>
        <v>54218</v>
      </c>
      <c r="W730" s="275">
        <f>ROUND(C275,0)</f>
        <v>0</v>
      </c>
      <c r="X730" s="275">
        <f>ROUND(C276,0)</f>
        <v>15132833</v>
      </c>
      <c r="Y730" s="275">
        <f>ROUND(C279,0)</f>
        <v>1558333</v>
      </c>
      <c r="Z730" s="275">
        <f>ROUND(C280,0)</f>
        <v>1305858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2187726</v>
      </c>
      <c r="AI730" s="275">
        <f>ROUND(C306,0)</f>
        <v>1743878</v>
      </c>
      <c r="AJ730" s="275">
        <f>ROUND(C307,0)</f>
        <v>0</v>
      </c>
      <c r="AK730" s="275">
        <f>ROUND(C308,0)</f>
        <v>0</v>
      </c>
      <c r="AL730" s="275">
        <f>ROUND(C309,0)</f>
        <v>908484</v>
      </c>
      <c r="AM730" s="275">
        <f>ROUND(C310,0)</f>
        <v>0</v>
      </c>
      <c r="AN730" s="275">
        <f>ROUND(C311,0)</f>
        <v>0</v>
      </c>
      <c r="AO730" s="275">
        <f>ROUND(C312,0)</f>
        <v>22735</v>
      </c>
      <c r="AP730" s="275">
        <f>ROUND(C313,0)</f>
        <v>1275616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4787202</v>
      </c>
      <c r="AW730" s="275">
        <f>ROUND(C324,0)</f>
        <v>3366480</v>
      </c>
      <c r="AX730" s="275">
        <f>ROUND(C325,0)</f>
        <v>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10181663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214.35</v>
      </c>
      <c r="BJ730" s="275">
        <f>ROUND(C359,0)</f>
        <v>12133223</v>
      </c>
      <c r="BK730" s="275">
        <f>ROUND(C360,0)</f>
        <v>63555865</v>
      </c>
      <c r="BL730" s="275">
        <f>ROUND(C364,0)</f>
        <v>36371828</v>
      </c>
      <c r="BM730" s="275">
        <f>ROUND(C365,0)</f>
        <v>1037876</v>
      </c>
      <c r="BN730" s="275">
        <f>ROUND(C366,0)</f>
        <v>650122</v>
      </c>
      <c r="BO730" s="275">
        <f>ROUND(C370,0)</f>
        <v>900648</v>
      </c>
      <c r="BP730" s="275">
        <f>ROUND(C371,0)</f>
        <v>1045048</v>
      </c>
      <c r="BQ730" s="275">
        <f>ROUND(C378,0)</f>
        <v>16442630</v>
      </c>
      <c r="BR730" s="275">
        <f>ROUND(C379,0)</f>
        <v>4182325</v>
      </c>
      <c r="BS730" s="275">
        <f>ROUND(C380,0)</f>
        <v>4526635</v>
      </c>
      <c r="BT730" s="275">
        <f>ROUND(C381,0)</f>
        <v>4975041</v>
      </c>
      <c r="BU730" s="275">
        <f>ROUND(C382,0)</f>
        <v>461018</v>
      </c>
      <c r="BV730" s="275">
        <f>ROUND(C383,0)</f>
        <v>2824892</v>
      </c>
      <c r="BW730" s="275">
        <f>ROUND(C384,0)</f>
        <v>1418451</v>
      </c>
      <c r="BX730" s="275">
        <f>ROUND(C385,0)</f>
        <v>426629</v>
      </c>
      <c r="BY730" s="275">
        <f>ROUND(C386,0)</f>
        <v>473175</v>
      </c>
      <c r="BZ730" s="275">
        <f>ROUND(C387,0)</f>
        <v>222498</v>
      </c>
      <c r="CA730" s="275">
        <f>ROUND(C388,0)</f>
        <v>290107</v>
      </c>
      <c r="CB730" s="275">
        <f>C363</f>
        <v>1830160.86</v>
      </c>
      <c r="CC730" s="275">
        <f>ROUND(C389,0)</f>
        <v>341981</v>
      </c>
      <c r="CD730" s="275">
        <f>ROUND(C392,0)</f>
        <v>429315</v>
      </c>
      <c r="CE730" s="275">
        <f>ROUND(C394,0)</f>
        <v>0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147*2019*6010*A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147*2019*6030*A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147*2019*6070*A</v>
      </c>
      <c r="B736" s="275">
        <f>ROUND(E59,0)</f>
        <v>1605</v>
      </c>
      <c r="C736" s="277">
        <f>ROUND(E60,2)</f>
        <v>29.84</v>
      </c>
      <c r="D736" s="275">
        <f>ROUND(E61,0)</f>
        <v>2318351</v>
      </c>
      <c r="E736" s="275">
        <f>ROUND(E62,0)</f>
        <v>618368</v>
      </c>
      <c r="F736" s="275">
        <f>ROUND(E63,0)</f>
        <v>110331</v>
      </c>
      <c r="G736" s="275">
        <f>ROUND(E64,0)</f>
        <v>78615</v>
      </c>
      <c r="H736" s="275">
        <f>ROUND(E65,0)</f>
        <v>0</v>
      </c>
      <c r="I736" s="275">
        <f>ROUND(E66,0)</f>
        <v>184383</v>
      </c>
      <c r="J736" s="275">
        <f>ROUND(E67,0)</f>
        <v>63789</v>
      </c>
      <c r="K736" s="275">
        <f>ROUND(E68,0)</f>
        <v>56361</v>
      </c>
      <c r="L736" s="275">
        <f>ROUND(E69,0)</f>
        <v>2141</v>
      </c>
      <c r="M736" s="275">
        <f>ROUND(E70,0)</f>
        <v>0</v>
      </c>
      <c r="N736" s="275">
        <f>ROUND(E75,0)</f>
        <v>4798312</v>
      </c>
      <c r="O736" s="275">
        <f>ROUND(E73,0)</f>
        <v>2470814</v>
      </c>
      <c r="P736" s="275">
        <f>IF(E76&gt;0,ROUND(E76,0),0)</f>
        <v>6204</v>
      </c>
      <c r="Q736" s="275">
        <f>IF(E77&gt;0,ROUND(E77,0),0)</f>
        <v>5895</v>
      </c>
      <c r="R736" s="275">
        <f>IF(E78&gt;0,ROUND(E78,0),0)</f>
        <v>4857</v>
      </c>
      <c r="S736" s="275">
        <f>IF(E79&gt;0,ROUND(E79,0),0)</f>
        <v>71162</v>
      </c>
      <c r="T736" s="277">
        <f>IF(E80&gt;0,ROUND(E80,2),0)</f>
        <v>14.95</v>
      </c>
      <c r="U736" s="275"/>
      <c r="V736" s="276"/>
      <c r="W736" s="275"/>
      <c r="X736" s="275"/>
      <c r="Y736" s="275">
        <f t="shared" si="21"/>
        <v>1509225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147*2019*6100*A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147*2019*6120*A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147*2019*6140*A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147*2019*6150*A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147*2019*6170*A</v>
      </c>
      <c r="B741" s="275">
        <f>ROUND(J59,0)</f>
        <v>365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624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412398</v>
      </c>
      <c r="O741" s="275">
        <f>ROUND(J73,0)</f>
        <v>411353</v>
      </c>
      <c r="P741" s="275">
        <f>IF(J76&gt;0,ROUND(J76,0),0)</f>
        <v>142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23088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147*2019*6200*A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147*2019*6210*A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147*2019*6330*A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147*2019*6400*A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147*2019*7010*A</v>
      </c>
      <c r="B746" s="275">
        <f>ROUND(O59,0)</f>
        <v>232</v>
      </c>
      <c r="C746" s="277">
        <f>ROUND(O60,2)</f>
        <v>6.48</v>
      </c>
      <c r="D746" s="275">
        <f>ROUND(O61,0)</f>
        <v>552926</v>
      </c>
      <c r="E746" s="275">
        <f>ROUND(O62,0)</f>
        <v>189318</v>
      </c>
      <c r="F746" s="275">
        <f>ROUND(O63,0)</f>
        <v>541935</v>
      </c>
      <c r="G746" s="275">
        <f>ROUND(O64,0)</f>
        <v>50322</v>
      </c>
      <c r="H746" s="275">
        <f>ROUND(O65,0)</f>
        <v>0</v>
      </c>
      <c r="I746" s="275">
        <f>ROUND(O66,0)</f>
        <v>23247</v>
      </c>
      <c r="J746" s="275">
        <f>ROUND(O67,0)</f>
        <v>38278</v>
      </c>
      <c r="K746" s="275">
        <f>ROUND(O68,0)</f>
        <v>7154</v>
      </c>
      <c r="L746" s="275">
        <f>ROUND(O69,0)</f>
        <v>2834</v>
      </c>
      <c r="M746" s="275">
        <f>ROUND(O70,0)</f>
        <v>0</v>
      </c>
      <c r="N746" s="275">
        <f>ROUND(O75,0)</f>
        <v>1443686</v>
      </c>
      <c r="O746" s="275">
        <f>ROUND(O73,0)</f>
        <v>1275592</v>
      </c>
      <c r="P746" s="275">
        <f>IF(O76&gt;0,ROUND(O76,0),0)</f>
        <v>1764</v>
      </c>
      <c r="Q746" s="275">
        <f>IF(O77&gt;0,ROUND(O77,0),0)</f>
        <v>2408</v>
      </c>
      <c r="R746" s="275">
        <f>IF(O78&gt;0,ROUND(O78,0),0)</f>
        <v>1031</v>
      </c>
      <c r="S746" s="275">
        <f>IF(O79&gt;0,ROUND(O79,0),0)</f>
        <v>7300</v>
      </c>
      <c r="T746" s="277">
        <f>IF(O80&gt;0,ROUND(O80,2),0)</f>
        <v>5.62</v>
      </c>
      <c r="U746" s="275"/>
      <c r="V746" s="276"/>
      <c r="W746" s="275"/>
      <c r="X746" s="275"/>
      <c r="Y746" s="275">
        <f t="shared" si="21"/>
        <v>497414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147*2019*7020*A</v>
      </c>
      <c r="B747" s="275">
        <f>ROUND(P59,0)</f>
        <v>113880</v>
      </c>
      <c r="C747" s="277">
        <f>ROUND(P60,2)</f>
        <v>10.27</v>
      </c>
      <c r="D747" s="275">
        <f>ROUND(P61,0)</f>
        <v>808524</v>
      </c>
      <c r="E747" s="275">
        <f>ROUND(P62,0)</f>
        <v>223053</v>
      </c>
      <c r="F747" s="275">
        <f>ROUND(P63,0)</f>
        <v>1092</v>
      </c>
      <c r="G747" s="275">
        <f>ROUND(P64,0)</f>
        <v>310694</v>
      </c>
      <c r="H747" s="275">
        <f>ROUND(P65,0)</f>
        <v>0</v>
      </c>
      <c r="I747" s="275">
        <f>ROUND(P66,0)</f>
        <v>106205</v>
      </c>
      <c r="J747" s="275">
        <f>ROUND(P67,0)</f>
        <v>291910</v>
      </c>
      <c r="K747" s="275">
        <f>ROUND(P68,0)</f>
        <v>5210</v>
      </c>
      <c r="L747" s="275">
        <f>ROUND(P69,0)</f>
        <v>2455</v>
      </c>
      <c r="M747" s="275">
        <f>ROUND(P70,0)</f>
        <v>0</v>
      </c>
      <c r="N747" s="275">
        <f>ROUND(P75,0)</f>
        <v>6413268</v>
      </c>
      <c r="O747" s="275">
        <f>ROUND(P73,0)</f>
        <v>1193705</v>
      </c>
      <c r="P747" s="275">
        <f>IF(P76&gt;0,ROUND(P76,0),0)</f>
        <v>4085</v>
      </c>
      <c r="Q747" s="275">
        <f>IF(P77&gt;0,ROUND(P77,0),0)</f>
        <v>0</v>
      </c>
      <c r="R747" s="275">
        <f>IF(P78&gt;0,ROUND(P78,0),0)</f>
        <v>1419</v>
      </c>
      <c r="S747" s="275">
        <f>IF(P79&gt;0,ROUND(P79,0),0)</f>
        <v>39600</v>
      </c>
      <c r="T747" s="277">
        <f>IF(P80&gt;0,ROUND(P80,2),0)</f>
        <v>3.73</v>
      </c>
      <c r="U747" s="275"/>
      <c r="V747" s="276"/>
      <c r="W747" s="275"/>
      <c r="X747" s="275"/>
      <c r="Y747" s="275">
        <f t="shared" si="21"/>
        <v>663006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147*2019*7030*A</v>
      </c>
      <c r="B748" s="275">
        <f>ROUND(Q59,0)</f>
        <v>136488</v>
      </c>
      <c r="C748" s="277">
        <f>ROUND(Q60,2)</f>
        <v>5.43</v>
      </c>
      <c r="D748" s="275">
        <f>ROUND(Q61,0)</f>
        <v>532575</v>
      </c>
      <c r="E748" s="275">
        <f>ROUND(Q62,0)</f>
        <v>110839</v>
      </c>
      <c r="F748" s="275">
        <f>ROUND(Q63,0)</f>
        <v>0</v>
      </c>
      <c r="G748" s="275">
        <f>ROUND(Q64,0)</f>
        <v>14785</v>
      </c>
      <c r="H748" s="275">
        <f>ROUND(Q65,0)</f>
        <v>0</v>
      </c>
      <c r="I748" s="275">
        <f>ROUND(Q66,0)</f>
        <v>5274</v>
      </c>
      <c r="J748" s="275">
        <f>ROUND(Q67,0)</f>
        <v>17630</v>
      </c>
      <c r="K748" s="275">
        <f>ROUND(Q68,0)</f>
        <v>11711</v>
      </c>
      <c r="L748" s="275">
        <f>ROUND(Q69,0)</f>
        <v>90</v>
      </c>
      <c r="M748" s="275">
        <f>ROUND(Q70,0)</f>
        <v>0</v>
      </c>
      <c r="N748" s="275">
        <f>ROUND(Q75,0)</f>
        <v>1997205</v>
      </c>
      <c r="O748" s="275">
        <f>ROUND(Q73,0)</f>
        <v>194936</v>
      </c>
      <c r="P748" s="275">
        <f>IF(Q76&gt;0,ROUND(Q76,0),0)</f>
        <v>1211</v>
      </c>
      <c r="Q748" s="275">
        <f>IF(Q77&gt;0,ROUND(Q77,0),0)</f>
        <v>0</v>
      </c>
      <c r="R748" s="275">
        <f>IF(Q78&gt;0,ROUND(Q78,0),0)</f>
        <v>859</v>
      </c>
      <c r="S748" s="275">
        <f>IF(Q79&gt;0,ROUND(Q79,0),0)</f>
        <v>0</v>
      </c>
      <c r="T748" s="277">
        <f>IF(Q80&gt;0,ROUND(Q80,2),0)</f>
        <v>4.72</v>
      </c>
      <c r="U748" s="275"/>
      <c r="V748" s="276"/>
      <c r="W748" s="275"/>
      <c r="X748" s="275"/>
      <c r="Y748" s="275">
        <f t="shared" si="21"/>
        <v>249626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147*2019*7040*A</v>
      </c>
      <c r="B749" s="275">
        <f>ROUND(R59,0)</f>
        <v>133609</v>
      </c>
      <c r="C749" s="277">
        <f>ROUND(R60,2)</f>
        <v>0</v>
      </c>
      <c r="D749" s="275">
        <f>ROUND(R61,0)</f>
        <v>0</v>
      </c>
      <c r="E749" s="275">
        <f>ROUND(R62,0)</f>
        <v>0</v>
      </c>
      <c r="F749" s="275">
        <f>ROUND(R63,0)</f>
        <v>840952</v>
      </c>
      <c r="G749" s="275">
        <f>ROUND(R64,0)</f>
        <v>8234</v>
      </c>
      <c r="H749" s="275">
        <f>ROUND(R65,0)</f>
        <v>0</v>
      </c>
      <c r="I749" s="275">
        <f>ROUND(R66,0)</f>
        <v>3515</v>
      </c>
      <c r="J749" s="275">
        <f>ROUND(R67,0)</f>
        <v>0</v>
      </c>
      <c r="K749" s="275">
        <f>ROUND(R68,0)</f>
        <v>12270</v>
      </c>
      <c r="L749" s="275">
        <f>ROUND(R69,0)</f>
        <v>0</v>
      </c>
      <c r="M749" s="275">
        <f>ROUND(R70,0)</f>
        <v>0</v>
      </c>
      <c r="N749" s="275">
        <f>ROUND(R75,0)</f>
        <v>1925618</v>
      </c>
      <c r="O749" s="275">
        <f>ROUND(R73,0)</f>
        <v>367046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137978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147*2019*7050*A</v>
      </c>
      <c r="B750" s="275"/>
      <c r="C750" s="277">
        <f>ROUND(S60,2)</f>
        <v>1.93</v>
      </c>
      <c r="D750" s="275">
        <f>ROUND(S61,0)</f>
        <v>56332</v>
      </c>
      <c r="E750" s="275">
        <f>ROUND(S62,0)</f>
        <v>28977</v>
      </c>
      <c r="F750" s="275">
        <f>ROUND(S63,0)</f>
        <v>0</v>
      </c>
      <c r="G750" s="275">
        <f>ROUND(S64,0)</f>
        <v>2146225</v>
      </c>
      <c r="H750" s="275">
        <f>ROUND(S65,0)</f>
        <v>0</v>
      </c>
      <c r="I750" s="275">
        <f>ROUND(S66,0)</f>
        <v>18516</v>
      </c>
      <c r="J750" s="275">
        <f>ROUND(S67,0)</f>
        <v>7905</v>
      </c>
      <c r="K750" s="275">
        <f>ROUND(S68,0)</f>
        <v>0</v>
      </c>
      <c r="L750" s="275">
        <f>ROUND(S69,0)</f>
        <v>1793</v>
      </c>
      <c r="M750" s="275">
        <f>ROUND(S70,0)</f>
        <v>7179</v>
      </c>
      <c r="N750" s="275">
        <f>ROUND(S75,0)</f>
        <v>7648363</v>
      </c>
      <c r="O750" s="275">
        <f>ROUND(S73,0)</f>
        <v>1637530</v>
      </c>
      <c r="P750" s="275">
        <f>IF(S76&gt;0,ROUND(S76,0),0)</f>
        <v>1628</v>
      </c>
      <c r="Q750" s="275">
        <f>IF(S77&gt;0,ROUND(S77,0),0)</f>
        <v>0</v>
      </c>
      <c r="R750" s="275">
        <f>IF(S78&gt;0,ROUND(S78,0),0)</f>
        <v>177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606754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147*2019*7060*A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147*2019*7070*A</v>
      </c>
      <c r="B752" s="275">
        <f>ROUND(U59,0)</f>
        <v>75093</v>
      </c>
      <c r="C752" s="277">
        <f>ROUND(U60,2)</f>
        <v>9.76</v>
      </c>
      <c r="D752" s="275">
        <f>ROUND(U61,0)</f>
        <v>602568</v>
      </c>
      <c r="E752" s="275">
        <f>ROUND(U62,0)</f>
        <v>157773</v>
      </c>
      <c r="F752" s="275">
        <f>ROUND(U63,0)</f>
        <v>9000</v>
      </c>
      <c r="G752" s="275">
        <f>ROUND(U64,0)</f>
        <v>738304</v>
      </c>
      <c r="H752" s="275">
        <f>ROUND(U65,0)</f>
        <v>0</v>
      </c>
      <c r="I752" s="275">
        <f>ROUND(U66,0)</f>
        <v>142097</v>
      </c>
      <c r="J752" s="275">
        <f>ROUND(U67,0)</f>
        <v>32641</v>
      </c>
      <c r="K752" s="275">
        <f>ROUND(U68,0)</f>
        <v>48916</v>
      </c>
      <c r="L752" s="275">
        <f>ROUND(U69,0)</f>
        <v>11474</v>
      </c>
      <c r="M752" s="275">
        <f>ROUND(U70,0)</f>
        <v>0</v>
      </c>
      <c r="N752" s="275">
        <f>ROUND(U75,0)</f>
        <v>6228179</v>
      </c>
      <c r="O752" s="275">
        <f>ROUND(U73,0)</f>
        <v>977076</v>
      </c>
      <c r="P752" s="275">
        <f>IF(U76&gt;0,ROUND(U76,0),0)</f>
        <v>1213</v>
      </c>
      <c r="Q752" s="275">
        <f>IF(U77&gt;0,ROUND(U77,0),0)</f>
        <v>0</v>
      </c>
      <c r="R752" s="275">
        <f>IF(U78&gt;0,ROUND(U78,0),0)</f>
        <v>732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488806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147*2019*7110*A</v>
      </c>
      <c r="B753" s="275">
        <f>ROUND(V59,0)</f>
        <v>2167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147*2019*7120*A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147*2019*7130*A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147*2019*7140*A</v>
      </c>
      <c r="B756" s="275">
        <f>ROUND(Y59,0)</f>
        <v>15791</v>
      </c>
      <c r="C756" s="277">
        <f>ROUND(Y60,2)</f>
        <v>10.78</v>
      </c>
      <c r="D756" s="275">
        <f>ROUND(Y61,0)</f>
        <v>789993</v>
      </c>
      <c r="E756" s="275">
        <f>ROUND(Y62,0)</f>
        <v>193772</v>
      </c>
      <c r="F756" s="275">
        <f>ROUND(Y63,0)</f>
        <v>825519</v>
      </c>
      <c r="G756" s="275">
        <f>ROUND(Y64,0)</f>
        <v>304673</v>
      </c>
      <c r="H756" s="275">
        <f>ROUND(Y65,0)</f>
        <v>0</v>
      </c>
      <c r="I756" s="275">
        <f>ROUND(Y66,0)</f>
        <v>352488</v>
      </c>
      <c r="J756" s="275">
        <f>ROUND(Y67,0)</f>
        <v>451657</v>
      </c>
      <c r="K756" s="275">
        <f>ROUND(Y68,0)</f>
        <v>164180</v>
      </c>
      <c r="L756" s="275">
        <f>ROUND(Y69,0)</f>
        <v>13887</v>
      </c>
      <c r="M756" s="275">
        <f>ROUND(Y70,0)</f>
        <v>0</v>
      </c>
      <c r="N756" s="275">
        <f>ROUND(Y75,0)</f>
        <v>17811825</v>
      </c>
      <c r="O756" s="275">
        <f>ROUND(Y73,0)</f>
        <v>748208</v>
      </c>
      <c r="P756" s="275">
        <f>IF(Y76&gt;0,ROUND(Y76,0),0)</f>
        <v>5544</v>
      </c>
      <c r="Q756" s="275">
        <f>IF(Y77&gt;0,ROUND(Y77,0),0)</f>
        <v>0</v>
      </c>
      <c r="R756" s="275">
        <f>IF(Y78&gt;0,ROUND(Y78,0),0)</f>
        <v>750</v>
      </c>
      <c r="S756" s="275">
        <f>IF(Y79&gt;0,ROUND(Y79,0),0)</f>
        <v>1288</v>
      </c>
      <c r="T756" s="277">
        <f>IF(Y80&gt;0,ROUND(Y80,2),0)</f>
        <v>0.24</v>
      </c>
      <c r="U756" s="275"/>
      <c r="V756" s="276"/>
      <c r="W756" s="275"/>
      <c r="X756" s="275"/>
      <c r="Y756" s="275">
        <f t="shared" si="21"/>
        <v>1205518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147*2019*7150*A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147*2019*7160*A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147*2019*7170*A</v>
      </c>
      <c r="B759" s="275"/>
      <c r="C759" s="277">
        <f>ROUND(AB60,2)</f>
        <v>2.09</v>
      </c>
      <c r="D759" s="275">
        <f>ROUND(AB61,0)</f>
        <v>189075</v>
      </c>
      <c r="E759" s="275">
        <f>ROUND(AB62,0)</f>
        <v>43738</v>
      </c>
      <c r="F759" s="275">
        <f>ROUND(AB63,0)</f>
        <v>94138</v>
      </c>
      <c r="G759" s="275">
        <f>ROUND(AB64,0)</f>
        <v>532542</v>
      </c>
      <c r="H759" s="275">
        <f>ROUND(AB65,0)</f>
        <v>0</v>
      </c>
      <c r="I759" s="275">
        <f>ROUND(AB66,0)</f>
        <v>15321</v>
      </c>
      <c r="J759" s="275">
        <f>ROUND(AB67,0)</f>
        <v>2583</v>
      </c>
      <c r="K759" s="275">
        <f>ROUND(AB68,0)</f>
        <v>4259</v>
      </c>
      <c r="L759" s="275">
        <f>ROUND(AB69,0)</f>
        <v>800</v>
      </c>
      <c r="M759" s="275">
        <f>ROUND(AB70,0)</f>
        <v>343669</v>
      </c>
      <c r="N759" s="275">
        <f>ROUND(AB75,0)</f>
        <v>3897829</v>
      </c>
      <c r="O759" s="275">
        <f>ROUND(AB73,0)</f>
        <v>963271</v>
      </c>
      <c r="P759" s="275">
        <f>IF(AB76&gt;0,ROUND(AB76,0),0)</f>
        <v>588</v>
      </c>
      <c r="Q759" s="275">
        <f>IF(AB77&gt;0,ROUND(AB77,0),0)</f>
        <v>0</v>
      </c>
      <c r="R759" s="275">
        <f>IF(AB78&gt;0,ROUND(AB78,0),0)</f>
        <v>216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259459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147*2019*7180*A</v>
      </c>
      <c r="B760" s="275">
        <f>ROUND(AC59,0)</f>
        <v>2518</v>
      </c>
      <c r="C760" s="277">
        <f>ROUND(AC60,2)</f>
        <v>3</v>
      </c>
      <c r="D760" s="275">
        <f>ROUND(AC61,0)</f>
        <v>239175</v>
      </c>
      <c r="E760" s="275">
        <f>ROUND(AC62,0)</f>
        <v>59300</v>
      </c>
      <c r="F760" s="275">
        <f>ROUND(AC63,0)</f>
        <v>0</v>
      </c>
      <c r="G760" s="275">
        <f>ROUND(AC64,0)</f>
        <v>35159</v>
      </c>
      <c r="H760" s="275">
        <f>ROUND(AC65,0)</f>
        <v>0</v>
      </c>
      <c r="I760" s="275">
        <f>ROUND(AC66,0)</f>
        <v>6900</v>
      </c>
      <c r="J760" s="275">
        <f>ROUND(AC67,0)</f>
        <v>7626</v>
      </c>
      <c r="K760" s="275">
        <f>ROUND(AC68,0)</f>
        <v>19550</v>
      </c>
      <c r="L760" s="275">
        <f>ROUND(AC69,0)</f>
        <v>1998</v>
      </c>
      <c r="M760" s="275">
        <f>ROUND(AC70,0)</f>
        <v>0</v>
      </c>
      <c r="N760" s="275">
        <f>ROUND(AC75,0)</f>
        <v>980613</v>
      </c>
      <c r="O760" s="275">
        <f>ROUND(AC73,0)</f>
        <v>295413</v>
      </c>
      <c r="P760" s="275">
        <f>IF(AC76&gt;0,ROUND(AC76,0),0)</f>
        <v>394</v>
      </c>
      <c r="Q760" s="275">
        <f>IF(AC77&gt;0,ROUND(AC77,0),0)</f>
        <v>0</v>
      </c>
      <c r="R760" s="275">
        <f>IF(AC78&gt;0,ROUND(AC78,0),0)</f>
        <v>150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87885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147*2019*7190*A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147*2019*7200*A</v>
      </c>
      <c r="B762" s="275">
        <f>ROUND(AE59,0)</f>
        <v>17107</v>
      </c>
      <c r="C762" s="277">
        <f>ROUND(AE60,2)</f>
        <v>7.47</v>
      </c>
      <c r="D762" s="275">
        <f>ROUND(AE61,0)</f>
        <v>530339</v>
      </c>
      <c r="E762" s="275">
        <f>ROUND(AE62,0)</f>
        <v>149034</v>
      </c>
      <c r="F762" s="275">
        <f>ROUND(AE63,0)</f>
        <v>2678</v>
      </c>
      <c r="G762" s="275">
        <f>ROUND(AE64,0)</f>
        <v>17174</v>
      </c>
      <c r="H762" s="275">
        <f>ROUND(AE65,0)</f>
        <v>0</v>
      </c>
      <c r="I762" s="275">
        <f>ROUND(AE66,0)</f>
        <v>30399</v>
      </c>
      <c r="J762" s="275">
        <f>ROUND(AE67,0)</f>
        <v>12930</v>
      </c>
      <c r="K762" s="275">
        <f>ROUND(AE68,0)</f>
        <v>999</v>
      </c>
      <c r="L762" s="275">
        <f>ROUND(AE69,0)</f>
        <v>5136</v>
      </c>
      <c r="M762" s="275">
        <f>ROUND(AE70,0)</f>
        <v>19507</v>
      </c>
      <c r="N762" s="275">
        <f>ROUND(AE75,0)</f>
        <v>2064316</v>
      </c>
      <c r="O762" s="275">
        <f>ROUND(AE73,0)</f>
        <v>68609</v>
      </c>
      <c r="P762" s="275">
        <f>IF(AE76&gt;0,ROUND(AE76,0),0)</f>
        <v>2944</v>
      </c>
      <c r="Q762" s="275">
        <f>IF(AE77&gt;0,ROUND(AE77,0),0)</f>
        <v>0</v>
      </c>
      <c r="R762" s="275">
        <f>IF(AE78&gt;0,ROUND(AE78,0),0)</f>
        <v>283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228157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147*2019*7220*A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147*2019*7230*A</v>
      </c>
      <c r="B764" s="275">
        <f>ROUND(AG59,0)</f>
        <v>9438</v>
      </c>
      <c r="C764" s="277">
        <f>ROUND(AG60,2)</f>
        <v>22.06</v>
      </c>
      <c r="D764" s="275">
        <f>ROUND(AG61,0)</f>
        <v>1535512</v>
      </c>
      <c r="E764" s="275">
        <f>ROUND(AG62,0)</f>
        <v>399374</v>
      </c>
      <c r="F764" s="275">
        <f>ROUND(AG63,0)</f>
        <v>1824191</v>
      </c>
      <c r="G764" s="275">
        <f>ROUND(AG64,0)</f>
        <v>103086</v>
      </c>
      <c r="H764" s="275">
        <f>ROUND(AG65,0)</f>
        <v>0</v>
      </c>
      <c r="I764" s="275">
        <f>ROUND(AG66,0)</f>
        <v>142899</v>
      </c>
      <c r="J764" s="275">
        <f>ROUND(AG67,0)</f>
        <v>139858</v>
      </c>
      <c r="K764" s="275">
        <f>ROUND(AG68,0)</f>
        <v>12871</v>
      </c>
      <c r="L764" s="275">
        <f>ROUND(AG69,0)</f>
        <v>1418</v>
      </c>
      <c r="M764" s="275">
        <f>ROUND(AG70,0)</f>
        <v>0</v>
      </c>
      <c r="N764" s="275">
        <f>ROUND(AG75,0)</f>
        <v>11451960</v>
      </c>
      <c r="O764" s="275">
        <f>ROUND(AG73,0)</f>
        <v>422076</v>
      </c>
      <c r="P764" s="275">
        <f>IF(AG76&gt;0,ROUND(AG76,0),0)</f>
        <v>3601</v>
      </c>
      <c r="Q764" s="275">
        <f>IF(AG77&gt;0,ROUND(AG77,0),0)</f>
        <v>0</v>
      </c>
      <c r="R764" s="275">
        <f>IF(AG78&gt;0,ROUND(AG78,0),0)</f>
        <v>4890</v>
      </c>
      <c r="S764" s="275">
        <f>IF(AG79&gt;0,ROUND(AG79,0),0)</f>
        <v>18394</v>
      </c>
      <c r="T764" s="277">
        <f>IF(AG80&gt;0,ROUND(AG80,2),0)</f>
        <v>8.9600000000000009</v>
      </c>
      <c r="U764" s="275"/>
      <c r="V764" s="276"/>
      <c r="W764" s="275"/>
      <c r="X764" s="275"/>
      <c r="Y764" s="275">
        <f t="shared" si="21"/>
        <v>1176409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147*2019*7240*A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147*2019*7250*A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147*2019*7260*A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147*2019*7310*A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147*2019*7320*A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147*2019*7330*A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147*2019*7340*A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147*2019*7350*A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147*2019*7380*A</v>
      </c>
      <c r="B773" s="275">
        <f>ROUND(AP59,0)</f>
        <v>21309</v>
      </c>
      <c r="C773" s="277">
        <f>ROUND(AP60,2)</f>
        <v>38.090000000000003</v>
      </c>
      <c r="D773" s="275">
        <f>ROUND(AP61,0)</f>
        <v>4463011</v>
      </c>
      <c r="E773" s="275">
        <f>ROUND(AP62,0)</f>
        <v>818107</v>
      </c>
      <c r="F773" s="275">
        <f>ROUND(AP63,0)</f>
        <v>7255</v>
      </c>
      <c r="G773" s="275">
        <f>ROUND(AP64,0)</f>
        <v>217224</v>
      </c>
      <c r="H773" s="275">
        <f>ROUND(AP65,0)</f>
        <v>44538</v>
      </c>
      <c r="I773" s="275">
        <f>ROUND(AP66,0)</f>
        <v>226265</v>
      </c>
      <c r="J773" s="275">
        <f>ROUND(AP67,0)</f>
        <v>115469</v>
      </c>
      <c r="K773" s="275">
        <f>ROUND(AP68,0)</f>
        <v>15536</v>
      </c>
      <c r="L773" s="275">
        <f>ROUND(AP69,0)</f>
        <v>296184</v>
      </c>
      <c r="M773" s="275">
        <f>ROUND(AP70,0)</f>
        <v>163256</v>
      </c>
      <c r="N773" s="275">
        <f>ROUND(AP75,0)</f>
        <v>8615515</v>
      </c>
      <c r="O773" s="275">
        <f>ROUND(AP73,0)</f>
        <v>1107594</v>
      </c>
      <c r="P773" s="275">
        <f>IF(AP76&gt;0,ROUND(AP76,0),0)</f>
        <v>15729</v>
      </c>
      <c r="Q773" s="275">
        <f>IF(AP77&gt;0,ROUND(AP77,0),0)</f>
        <v>0</v>
      </c>
      <c r="R773" s="275">
        <f>IF(AP78&gt;0,ROUND(AP78,0),0)</f>
        <v>1880</v>
      </c>
      <c r="S773" s="275">
        <f>IF(AP79&gt;0,ROUND(AP79,0),0)</f>
        <v>0</v>
      </c>
      <c r="T773" s="277">
        <f>IF(AP80&gt;0,ROUND(AP80,2),0)</f>
        <v>11.9</v>
      </c>
      <c r="U773" s="275"/>
      <c r="V773" s="276"/>
      <c r="W773" s="275"/>
      <c r="X773" s="275"/>
      <c r="Y773" s="275">
        <f t="shared" si="21"/>
        <v>1352729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147*2019*7390*A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147*2019*7400*A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147*2019*7410*A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147*2019*7420*A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147*2019*7430*A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147*2019*7490*A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147*2019*8200*A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147*2019*8310*A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147*2019*8320*A</v>
      </c>
      <c r="B782" s="275">
        <f>ROUND(AY59,0)</f>
        <v>8303</v>
      </c>
      <c r="C782" s="277">
        <f>ROUND(AY60,2)</f>
        <v>7.05</v>
      </c>
      <c r="D782" s="275">
        <f>ROUND(AY61,0)</f>
        <v>272254</v>
      </c>
      <c r="E782" s="275">
        <f>ROUND(AY62,0)</f>
        <v>102735</v>
      </c>
      <c r="F782" s="275">
        <f>ROUND(AY63,0)</f>
        <v>0</v>
      </c>
      <c r="G782" s="275">
        <f>ROUND(AY64,0)</f>
        <v>185502</v>
      </c>
      <c r="H782" s="275">
        <f>ROUND(AY65,0)</f>
        <v>0</v>
      </c>
      <c r="I782" s="275">
        <f>ROUND(AY66,0)</f>
        <v>8156</v>
      </c>
      <c r="J782" s="275">
        <f>ROUND(AY67,0)</f>
        <v>16424</v>
      </c>
      <c r="K782" s="275">
        <f>ROUND(AY68,0)</f>
        <v>0</v>
      </c>
      <c r="L782" s="275">
        <f>ROUND(AY69,0)</f>
        <v>10527</v>
      </c>
      <c r="M782" s="275">
        <f>ROUND(AY70,0)</f>
        <v>0</v>
      </c>
      <c r="N782" s="275"/>
      <c r="O782" s="275"/>
      <c r="P782" s="275">
        <f>IF(AY76&gt;0,ROUND(AY76,0),0)</f>
        <v>2154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147*2019*8330*A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147*2019*8350*A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3</v>
      </c>
      <c r="H784" s="275">
        <f>ROUND(BA65,0)</f>
        <v>0</v>
      </c>
      <c r="I784" s="275">
        <f>ROUND(BA66,0)</f>
        <v>155883</v>
      </c>
      <c r="J784" s="275">
        <f>ROUND(BA67,0)</f>
        <v>2222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506</v>
      </c>
      <c r="Q784" s="275">
        <f>IF(BA77&gt;0,ROUND(BA77,0),0)</f>
        <v>0</v>
      </c>
      <c r="R784" s="275">
        <f>IF(BA78&gt;0,ROUND(BA78,0),0)</f>
        <v>377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147*2019*8360*A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147*2019*8370*A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147*2019*8420*A</v>
      </c>
      <c r="B787" s="275"/>
      <c r="C787" s="277">
        <f>ROUND(BD60,2)</f>
        <v>2.06</v>
      </c>
      <c r="D787" s="275">
        <f>ROUND(BD61,0)</f>
        <v>111464</v>
      </c>
      <c r="E787" s="275">
        <f>ROUND(BD62,0)</f>
        <v>35321</v>
      </c>
      <c r="F787" s="275">
        <f>ROUND(BD63,0)</f>
        <v>0</v>
      </c>
      <c r="G787" s="275">
        <f>ROUND(BD64,0)</f>
        <v>1131</v>
      </c>
      <c r="H787" s="275">
        <f>ROUND(BD65,0)</f>
        <v>0</v>
      </c>
      <c r="I787" s="275">
        <f>ROUND(BD66,0)</f>
        <v>4683</v>
      </c>
      <c r="J787" s="275">
        <f>ROUND(BD67,0)</f>
        <v>1506</v>
      </c>
      <c r="K787" s="275">
        <f>ROUND(BD68,0)</f>
        <v>0</v>
      </c>
      <c r="L787" s="275">
        <f>ROUND(BD69,0)</f>
        <v>2209</v>
      </c>
      <c r="M787" s="275">
        <f>ROUND(BD70,0)</f>
        <v>0</v>
      </c>
      <c r="N787" s="275"/>
      <c r="O787" s="275"/>
      <c r="P787" s="275">
        <f>IF(BD76&gt;0,ROUND(BD76,0),0)</f>
        <v>343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147*2019*8430*A</v>
      </c>
      <c r="B788" s="275">
        <f>ROUND(BE59,0)</f>
        <v>82579</v>
      </c>
      <c r="C788" s="277">
        <f>ROUND(BE60,2)</f>
        <v>3.27</v>
      </c>
      <c r="D788" s="275">
        <f>ROUND(BE61,0)</f>
        <v>200855</v>
      </c>
      <c r="E788" s="275">
        <f>ROUND(BE62,0)</f>
        <v>55907</v>
      </c>
      <c r="F788" s="275">
        <f>ROUND(BE63,0)</f>
        <v>0</v>
      </c>
      <c r="G788" s="275">
        <f>ROUND(BE64,0)</f>
        <v>45463</v>
      </c>
      <c r="H788" s="275">
        <f>ROUND(BE65,0)</f>
        <v>337638</v>
      </c>
      <c r="I788" s="275">
        <f>ROUND(BE66,0)</f>
        <v>105684</v>
      </c>
      <c r="J788" s="275">
        <f>ROUND(BE67,0)</f>
        <v>167718</v>
      </c>
      <c r="K788" s="275">
        <f>ROUND(BE68,0)</f>
        <v>66</v>
      </c>
      <c r="L788" s="275">
        <f>ROUND(BE69,0)</f>
        <v>897</v>
      </c>
      <c r="M788" s="275">
        <f>ROUND(BE70,0)</f>
        <v>0</v>
      </c>
      <c r="N788" s="275"/>
      <c r="O788" s="275"/>
      <c r="P788" s="275">
        <f>IF(BE76&gt;0,ROUND(BE76,0),0)</f>
        <v>24883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147*2019*8460*A</v>
      </c>
      <c r="B789" s="275"/>
      <c r="C789" s="277">
        <f>ROUND(BF60,2)</f>
        <v>9.7799999999999994</v>
      </c>
      <c r="D789" s="275">
        <f>ROUND(BF61,0)</f>
        <v>327864</v>
      </c>
      <c r="E789" s="275">
        <f>ROUND(BF62,0)</f>
        <v>131208</v>
      </c>
      <c r="F789" s="275">
        <f>ROUND(BF63,0)</f>
        <v>0</v>
      </c>
      <c r="G789" s="275">
        <f>ROUND(BF64,0)</f>
        <v>28980</v>
      </c>
      <c r="H789" s="275">
        <f>ROUND(BF65,0)</f>
        <v>0</v>
      </c>
      <c r="I789" s="275">
        <f>ROUND(BF66,0)</f>
        <v>3657</v>
      </c>
      <c r="J789" s="275">
        <f>ROUND(BF67,0)</f>
        <v>1696</v>
      </c>
      <c r="K789" s="275">
        <f>ROUND(BF68,0)</f>
        <v>0</v>
      </c>
      <c r="L789" s="275">
        <f>ROUND(BF69,0)</f>
        <v>2732</v>
      </c>
      <c r="M789" s="275">
        <f>ROUND(BF70,0)</f>
        <v>0</v>
      </c>
      <c r="N789" s="275"/>
      <c r="O789" s="275"/>
      <c r="P789" s="275">
        <f>IF(BF76&gt;0,ROUND(BF76,0),0)</f>
        <v>350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147*2019*8470*A</v>
      </c>
      <c r="B790" s="275"/>
      <c r="C790" s="277">
        <f>ROUND(BG60,2)</f>
        <v>0.51</v>
      </c>
      <c r="D790" s="275">
        <f>ROUND(BG61,0)</f>
        <v>30478</v>
      </c>
      <c r="E790" s="275">
        <f>ROUND(BG62,0)</f>
        <v>15572</v>
      </c>
      <c r="F790" s="275">
        <f>ROUND(BG63,0)</f>
        <v>0</v>
      </c>
      <c r="G790" s="275">
        <f>ROUND(BG64,0)</f>
        <v>0</v>
      </c>
      <c r="H790" s="275">
        <f>ROUND(BG65,0)</f>
        <v>78842</v>
      </c>
      <c r="I790" s="275">
        <f>ROUND(BG66,0)</f>
        <v>8479</v>
      </c>
      <c r="J790" s="275">
        <f>ROUND(BG67,0)</f>
        <v>1282</v>
      </c>
      <c r="K790" s="275">
        <f>ROUND(BG68,0)</f>
        <v>2882</v>
      </c>
      <c r="L790" s="275">
        <f>ROUND(BG69,0)</f>
        <v>0</v>
      </c>
      <c r="M790" s="275">
        <f>ROUND(BG70,0)</f>
        <v>3090</v>
      </c>
      <c r="N790" s="275"/>
      <c r="O790" s="275"/>
      <c r="P790" s="275">
        <f>IF(BG76&gt;0,ROUND(BG76,0),0)</f>
        <v>292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147*2019*8480*A</v>
      </c>
      <c r="B791" s="275"/>
      <c r="C791" s="277">
        <f>ROUND(BH60,2)</f>
        <v>4.01</v>
      </c>
      <c r="D791" s="275">
        <f>ROUND(BH61,0)</f>
        <v>280530</v>
      </c>
      <c r="E791" s="275">
        <f>ROUND(BH62,0)</f>
        <v>75730</v>
      </c>
      <c r="F791" s="275">
        <f>ROUND(BH63,0)</f>
        <v>0</v>
      </c>
      <c r="G791" s="275">
        <f>ROUND(BH64,0)</f>
        <v>50886</v>
      </c>
      <c r="H791" s="275">
        <f>ROUND(BH65,0)</f>
        <v>0</v>
      </c>
      <c r="I791" s="275">
        <f>ROUND(BH66,0)</f>
        <v>739212</v>
      </c>
      <c r="J791" s="275">
        <f>ROUND(BH67,0)</f>
        <v>31766</v>
      </c>
      <c r="K791" s="275">
        <f>ROUND(BH68,0)</f>
        <v>25627</v>
      </c>
      <c r="L791" s="275">
        <f>ROUND(BH69,0)</f>
        <v>584</v>
      </c>
      <c r="M791" s="275">
        <f>ROUND(BH70,0)</f>
        <v>0</v>
      </c>
      <c r="N791" s="275"/>
      <c r="O791" s="275"/>
      <c r="P791" s="275">
        <f>IF(BH76&gt;0,ROUND(BH76,0),0)</f>
        <v>652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147*2019*8490*A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147*2019*8510*A</v>
      </c>
      <c r="B793" s="275"/>
      <c r="C793" s="277">
        <f>ROUND(BJ60,2)</f>
        <v>4.34</v>
      </c>
      <c r="D793" s="275">
        <f>ROUND(BJ61,0)</f>
        <v>402212</v>
      </c>
      <c r="E793" s="275">
        <f>ROUND(BJ62,0)</f>
        <v>88814</v>
      </c>
      <c r="F793" s="275">
        <f>ROUND(BJ63,0)</f>
        <v>77272</v>
      </c>
      <c r="G793" s="275">
        <f>ROUND(BJ64,0)</f>
        <v>21601</v>
      </c>
      <c r="H793" s="275">
        <f>ROUND(BJ65,0)</f>
        <v>0</v>
      </c>
      <c r="I793" s="275">
        <f>ROUND(BJ66,0)</f>
        <v>25369</v>
      </c>
      <c r="J793" s="275">
        <f>ROUND(BJ67,0)</f>
        <v>14080</v>
      </c>
      <c r="K793" s="275">
        <f>ROUND(BJ68,0)</f>
        <v>9996</v>
      </c>
      <c r="L793" s="275">
        <f>ROUND(BJ69,0)</f>
        <v>12272</v>
      </c>
      <c r="M793" s="275">
        <f>ROUND(BJ70,0)</f>
        <v>0</v>
      </c>
      <c r="N793" s="275"/>
      <c r="O793" s="275"/>
      <c r="P793" s="275">
        <f>IF(BJ76&gt;0,ROUND(BJ76,0),0)</f>
        <v>615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147*2019*8530*A</v>
      </c>
      <c r="B794" s="275"/>
      <c r="C794" s="277">
        <f>ROUND(BK60,2)</f>
        <v>11.95</v>
      </c>
      <c r="D794" s="275">
        <f>ROUND(BK61,0)</f>
        <v>449175</v>
      </c>
      <c r="E794" s="275">
        <f>ROUND(BK62,0)</f>
        <v>178905</v>
      </c>
      <c r="F794" s="275">
        <f>ROUND(BK63,0)</f>
        <v>78945</v>
      </c>
      <c r="G794" s="275">
        <f>ROUND(BK64,0)</f>
        <v>47990</v>
      </c>
      <c r="H794" s="275">
        <f>ROUND(BK65,0)</f>
        <v>0</v>
      </c>
      <c r="I794" s="275">
        <f>ROUND(BK66,0)</f>
        <v>258890</v>
      </c>
      <c r="J794" s="275">
        <f>ROUND(BK67,0)</f>
        <v>7699</v>
      </c>
      <c r="K794" s="275">
        <f>ROUND(BK68,0)</f>
        <v>17792</v>
      </c>
      <c r="L794" s="275">
        <f>ROUND(BK69,0)</f>
        <v>2367</v>
      </c>
      <c r="M794" s="275">
        <f>ROUND(BK70,0)</f>
        <v>0</v>
      </c>
      <c r="N794" s="275"/>
      <c r="O794" s="275"/>
      <c r="P794" s="275">
        <f>IF(BK76&gt;0,ROUND(BK76,0),0)</f>
        <v>1753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147*2019*8560*A</v>
      </c>
      <c r="B795" s="275"/>
      <c r="C795" s="277">
        <f>ROUND(BL60,2)</f>
        <v>5.0999999999999996</v>
      </c>
      <c r="D795" s="275">
        <f>ROUND(BL61,0)</f>
        <v>181772</v>
      </c>
      <c r="E795" s="275">
        <f>ROUND(BL62,0)</f>
        <v>130776</v>
      </c>
      <c r="F795" s="275">
        <f>ROUND(BL63,0)</f>
        <v>0</v>
      </c>
      <c r="G795" s="275">
        <f>ROUND(BL64,0)</f>
        <v>8565</v>
      </c>
      <c r="H795" s="275">
        <f>ROUND(BL65,0)</f>
        <v>0</v>
      </c>
      <c r="I795" s="275">
        <f>ROUND(BL66,0)</f>
        <v>6596</v>
      </c>
      <c r="J795" s="275">
        <f>ROUND(BL67,0)</f>
        <v>1107</v>
      </c>
      <c r="K795" s="275">
        <f>ROUND(BL68,0)</f>
        <v>1186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252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147*2019*8590*A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147*2019*8610*A</v>
      </c>
      <c r="B797" s="275"/>
      <c r="C797" s="277">
        <f>ROUND(BN60,2)</f>
        <v>3.89</v>
      </c>
      <c r="D797" s="275">
        <f>ROUND(BN61,0)</f>
        <v>542286</v>
      </c>
      <c r="E797" s="275">
        <f>ROUND(BN62,0)</f>
        <v>103716</v>
      </c>
      <c r="F797" s="275">
        <f>ROUND(BN63,0)</f>
        <v>42694</v>
      </c>
      <c r="G797" s="275">
        <f>ROUND(BN64,0)</f>
        <v>5985</v>
      </c>
      <c r="H797" s="275">
        <f>ROUND(BN65,0)</f>
        <v>0</v>
      </c>
      <c r="I797" s="275">
        <f>ROUND(BN66,0)</f>
        <v>93445</v>
      </c>
      <c r="J797" s="275">
        <f>ROUND(BN67,0)</f>
        <v>3505</v>
      </c>
      <c r="K797" s="275">
        <f>ROUND(BN68,0)</f>
        <v>8049</v>
      </c>
      <c r="L797" s="275">
        <f>ROUND(BN69,0)</f>
        <v>80621</v>
      </c>
      <c r="M797" s="275">
        <f>ROUND(BN70,0)</f>
        <v>0</v>
      </c>
      <c r="N797" s="275"/>
      <c r="O797" s="275"/>
      <c r="P797" s="275">
        <f>IF(BN76&gt;0,ROUND(BN76,0),0)</f>
        <v>798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147*2019*8620*A</v>
      </c>
      <c r="B798" s="275"/>
      <c r="C798" s="277">
        <f>ROUND(BO60,2)</f>
        <v>0.3</v>
      </c>
      <c r="D798" s="275">
        <f>ROUND(BO61,0)</f>
        <v>42863</v>
      </c>
      <c r="E798" s="275">
        <f>ROUND(BO62,0)</f>
        <v>195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0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147*2019*8630*A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147*2019*8640*A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147*2019*8650*A</v>
      </c>
      <c r="B801" s="275"/>
      <c r="C801" s="277">
        <f>ROUND(BR60,2)</f>
        <v>2.09</v>
      </c>
      <c r="D801" s="275">
        <f>ROUND(BR61,0)</f>
        <v>184724</v>
      </c>
      <c r="E801" s="275">
        <f>ROUND(BR62,0)</f>
        <v>43769</v>
      </c>
      <c r="F801" s="275">
        <f>ROUND(BR63,0)</f>
        <v>64466</v>
      </c>
      <c r="G801" s="275">
        <f>ROUND(BR64,0)</f>
        <v>1411</v>
      </c>
      <c r="H801" s="275">
        <f>ROUND(BR65,0)</f>
        <v>0</v>
      </c>
      <c r="I801" s="275">
        <f>ROUND(BR66,0)</f>
        <v>7128</v>
      </c>
      <c r="J801" s="275">
        <f>ROUND(BR67,0)</f>
        <v>1419</v>
      </c>
      <c r="K801" s="275">
        <f>ROUND(BR68,0)</f>
        <v>0</v>
      </c>
      <c r="L801" s="275">
        <f>ROUND(BR69,0)</f>
        <v>64603</v>
      </c>
      <c r="M801" s="275">
        <f>ROUND(BR70,0)</f>
        <v>0</v>
      </c>
      <c r="N801" s="275"/>
      <c r="O801" s="275"/>
      <c r="P801" s="275">
        <f>IF(BR76&gt;0,ROUND(BR76,0),0)</f>
        <v>323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147*2019*8660*A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147*2019*8670*A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147*2019*8680*A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147*2019*8690*A</v>
      </c>
      <c r="B805" s="275"/>
      <c r="C805" s="277">
        <f>ROUND(BV60,2)</f>
        <v>8.9</v>
      </c>
      <c r="D805" s="275">
        <f>ROUND(BV61,0)</f>
        <v>414729</v>
      </c>
      <c r="E805" s="275">
        <f>ROUND(BV62,0)</f>
        <v>129925</v>
      </c>
      <c r="F805" s="275">
        <f>ROUND(BV63,0)</f>
        <v>0</v>
      </c>
      <c r="G805" s="275">
        <f>ROUND(BV64,0)</f>
        <v>4087</v>
      </c>
      <c r="H805" s="275">
        <f>ROUND(BV65,0)</f>
        <v>0</v>
      </c>
      <c r="I805" s="275">
        <f>ROUND(BV66,0)</f>
        <v>100698</v>
      </c>
      <c r="J805" s="275">
        <f>ROUND(BV67,0)</f>
        <v>7086</v>
      </c>
      <c r="K805" s="275">
        <f>ROUND(BV68,0)</f>
        <v>2015</v>
      </c>
      <c r="L805" s="275">
        <f>ROUND(BV69,0)</f>
        <v>937</v>
      </c>
      <c r="M805" s="275">
        <f>ROUND(BV70,0)</f>
        <v>15793</v>
      </c>
      <c r="N805" s="275"/>
      <c r="O805" s="275"/>
      <c r="P805" s="275">
        <f>IF(BV76&gt;0,ROUND(BV76,0),0)</f>
        <v>1508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147*2019*8700*A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147*2019*8710*A</v>
      </c>
      <c r="B807" s="275"/>
      <c r="C807" s="277">
        <f>ROUND(BX60,2)</f>
        <v>1.0900000000000001</v>
      </c>
      <c r="D807" s="275">
        <f>ROUND(BX61,0)</f>
        <v>77227</v>
      </c>
      <c r="E807" s="275">
        <f>ROUND(BX62,0)</f>
        <v>20547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9712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147*2019*8720*A</v>
      </c>
      <c r="B808" s="275"/>
      <c r="C808" s="277">
        <f>ROUND(BY60,2)</f>
        <v>2.33</v>
      </c>
      <c r="D808" s="275">
        <f>ROUND(BY61,0)</f>
        <v>246192</v>
      </c>
      <c r="E808" s="275">
        <f>ROUND(BY62,0)</f>
        <v>74409</v>
      </c>
      <c r="F808" s="275">
        <f>ROUND(BY63,0)</f>
        <v>0</v>
      </c>
      <c r="G808" s="275">
        <f>ROUND(BY64,0)</f>
        <v>1202</v>
      </c>
      <c r="H808" s="275">
        <f>ROUND(BY65,0)</f>
        <v>0</v>
      </c>
      <c r="I808" s="275">
        <f>ROUND(BY66,0)</f>
        <v>0</v>
      </c>
      <c r="J808" s="275">
        <f>ROUND(BY67,0)</f>
        <v>1164</v>
      </c>
      <c r="K808" s="275">
        <f>ROUND(BY68,0)</f>
        <v>0</v>
      </c>
      <c r="L808" s="275">
        <f>ROUND(BY69,0)</f>
        <v>2287</v>
      </c>
      <c r="M808" s="275">
        <f>ROUND(BY70,0)</f>
        <v>0</v>
      </c>
      <c r="N808" s="275"/>
      <c r="O808" s="275"/>
      <c r="P808" s="275">
        <f>IF(BY76&gt;0,ROUND(BY76,0),0)</f>
        <v>265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147*2019*8730*A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147*2019*8740*A</v>
      </c>
      <c r="B810" s="275"/>
      <c r="C810" s="277">
        <f>ROUND(CA60,2)</f>
        <v>0.37</v>
      </c>
      <c r="D810" s="275">
        <f>ROUND(CA61,0)</f>
        <v>30844</v>
      </c>
      <c r="E810" s="275">
        <f>ROUND(CA62,0)</f>
        <v>641</v>
      </c>
      <c r="F810" s="275">
        <f>ROUND(CA63,0)</f>
        <v>6170</v>
      </c>
      <c r="G810" s="275">
        <f>ROUND(CA64,0)</f>
        <v>15200</v>
      </c>
      <c r="H810" s="275">
        <f>ROUND(CA65,0)</f>
        <v>0</v>
      </c>
      <c r="I810" s="275">
        <f>ROUND(CA66,0)</f>
        <v>49500</v>
      </c>
      <c r="J810" s="275">
        <f>ROUND(CA67,0)</f>
        <v>16465</v>
      </c>
      <c r="K810" s="275">
        <f>ROUND(CA68,0)</f>
        <v>0</v>
      </c>
      <c r="L810" s="275">
        <f>ROUND(CA69,0)</f>
        <v>230</v>
      </c>
      <c r="M810" s="275">
        <f>ROUND(CA70,0)</f>
        <v>0</v>
      </c>
      <c r="N810" s="275"/>
      <c r="O810" s="275"/>
      <c r="P810" s="275">
        <f>IF(CA76&gt;0,ROUND(CA76,0),0)</f>
        <v>2838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147*2019*8770*A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147*2019*8790*A</v>
      </c>
      <c r="B812" s="275"/>
      <c r="C812" s="277">
        <f>ROUND(CC60,2)</f>
        <v>0.11</v>
      </c>
      <c r="D812" s="275">
        <f>ROUND(CC61,0)</f>
        <v>28782</v>
      </c>
      <c r="E812" s="275">
        <f>ROUND(CC62,0)</f>
        <v>2501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5720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147*2019*9000*A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501743</v>
      </c>
      <c r="V813" s="276">
        <f>ROUND(CD70,0)</f>
        <v>221592</v>
      </c>
      <c r="W813" s="275">
        <f>ROUND(CE72,0)</f>
        <v>1045048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214.35000000000002</v>
      </c>
      <c r="D815" s="276">
        <f t="shared" si="22"/>
        <v>16442632</v>
      </c>
      <c r="E815" s="276">
        <f t="shared" si="22"/>
        <v>4182324</v>
      </c>
      <c r="F815" s="276">
        <f t="shared" si="22"/>
        <v>4526638</v>
      </c>
      <c r="G815" s="276">
        <f t="shared" si="22"/>
        <v>4975043</v>
      </c>
      <c r="H815" s="276">
        <f t="shared" si="22"/>
        <v>461018</v>
      </c>
      <c r="I815" s="276">
        <f t="shared" si="22"/>
        <v>2824889</v>
      </c>
      <c r="J815" s="276">
        <f t="shared" si="22"/>
        <v>1458039</v>
      </c>
      <c r="K815" s="276">
        <f t="shared" si="22"/>
        <v>426630</v>
      </c>
      <c r="L815" s="276">
        <f>SUM(L734:L813)+SUM(U734:U813)</f>
        <v>1037651</v>
      </c>
      <c r="M815" s="276">
        <f>SUM(M734:M813)+SUM(V734:V813)</f>
        <v>774086</v>
      </c>
      <c r="N815" s="276">
        <f t="shared" ref="N815:Y815" si="23">SUM(N734:N813)</f>
        <v>75689087</v>
      </c>
      <c r="O815" s="276">
        <f t="shared" si="23"/>
        <v>12133223</v>
      </c>
      <c r="P815" s="276">
        <f t="shared" si="23"/>
        <v>82579</v>
      </c>
      <c r="Q815" s="276">
        <f t="shared" si="23"/>
        <v>8303</v>
      </c>
      <c r="R815" s="276">
        <f t="shared" si="23"/>
        <v>17621</v>
      </c>
      <c r="S815" s="276">
        <f t="shared" si="23"/>
        <v>137744</v>
      </c>
      <c r="T815" s="280">
        <f t="shared" si="23"/>
        <v>50.12</v>
      </c>
      <c r="U815" s="276">
        <f t="shared" si="23"/>
        <v>501743</v>
      </c>
      <c r="V815" s="276">
        <f t="shared" si="23"/>
        <v>221592</v>
      </c>
      <c r="W815" s="276">
        <f t="shared" si="23"/>
        <v>1045048</v>
      </c>
      <c r="X815" s="276">
        <f t="shared" si="23"/>
        <v>0</v>
      </c>
      <c r="Y815" s="276">
        <f t="shared" si="23"/>
        <v>8486054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214.35000000000002</v>
      </c>
      <c r="D816" s="276">
        <f>CE61</f>
        <v>16442630.189999999</v>
      </c>
      <c r="E816" s="276">
        <f>CE62</f>
        <v>4182324</v>
      </c>
      <c r="F816" s="276">
        <f>CE63</f>
        <v>4526635.41</v>
      </c>
      <c r="G816" s="276">
        <f>CE64</f>
        <v>4975040.97</v>
      </c>
      <c r="H816" s="279">
        <f>CE65</f>
        <v>461017.54000000004</v>
      </c>
      <c r="I816" s="279">
        <f>CE66</f>
        <v>2824891.8600000003</v>
      </c>
      <c r="J816" s="279">
        <f>CE67</f>
        <v>1458039</v>
      </c>
      <c r="K816" s="279">
        <f>CE68</f>
        <v>426629.17999999993</v>
      </c>
      <c r="L816" s="279">
        <f>CE69</f>
        <v>1037652.4999999999</v>
      </c>
      <c r="M816" s="279">
        <f>CE70</f>
        <v>774085.3600000001</v>
      </c>
      <c r="N816" s="276">
        <f>CE75</f>
        <v>75689087.709999993</v>
      </c>
      <c r="O816" s="276">
        <f>CE73</f>
        <v>12133223</v>
      </c>
      <c r="P816" s="276">
        <f>CE76</f>
        <v>82579</v>
      </c>
      <c r="Q816" s="276">
        <f>CE77</f>
        <v>8303</v>
      </c>
      <c r="R816" s="276">
        <f>CE78</f>
        <v>17622.23</v>
      </c>
      <c r="S816" s="276">
        <f>CE79</f>
        <v>137744</v>
      </c>
      <c r="T816" s="280">
        <f>CE80</f>
        <v>50.12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8486052.370000001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16442630</v>
      </c>
      <c r="E817" s="180">
        <f>C379</f>
        <v>4182324.52</v>
      </c>
      <c r="F817" s="180">
        <f>C380</f>
        <v>4526635.41</v>
      </c>
      <c r="G817" s="239">
        <f>C381</f>
        <v>4975041.25</v>
      </c>
      <c r="H817" s="239">
        <f>C382</f>
        <v>461017.54</v>
      </c>
      <c r="I817" s="239">
        <f>C383</f>
        <v>2824891.95</v>
      </c>
      <c r="J817" s="239">
        <f>C384</f>
        <v>1418451.47</v>
      </c>
      <c r="K817" s="239">
        <f>C385</f>
        <v>426629.39</v>
      </c>
      <c r="L817" s="239">
        <f>C386+C387+C388+C389</f>
        <v>1327761.17</v>
      </c>
      <c r="M817" s="239">
        <f>C370</f>
        <v>900647.75</v>
      </c>
      <c r="N817" s="180">
        <f>D361</f>
        <v>75689087.710000008</v>
      </c>
      <c r="O817" s="180">
        <f>C359</f>
        <v>12133223</v>
      </c>
    </row>
  </sheetData>
  <mergeCells count="1">
    <mergeCell ref="B220:C220"/>
  </mergeCells>
  <hyperlinks>
    <hyperlink ref="F16" r:id="rId1" xr:uid="{00000000-0004-0000-0900-000000000000}"/>
    <hyperlink ref="C17" r:id="rId2" xr:uid="{00000000-0004-0000-09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34" transitionEvaluation="1" transitionEntry="1" codeName="Sheet10">
    <pageSetUpPr autoPageBreaks="0" fitToPage="1"/>
  </sheetPr>
  <dimension ref="A1:CF817"/>
  <sheetViews>
    <sheetView showGridLines="0" topLeftCell="A34" zoomScale="75" workbookViewId="0">
      <selection activeCell="B6" sqref="B6"/>
    </sheetView>
  </sheetViews>
  <sheetFormatPr defaultColWidth="11.75" defaultRowHeight="12.65" customHeight="1" x14ac:dyDescent="0.35"/>
  <cols>
    <col min="1" max="1" width="29.5625" style="180" customWidth="1"/>
    <col min="2" max="2" width="15.56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3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3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35">
      <c r="A3" s="199"/>
      <c r="C3" s="235"/>
    </row>
    <row r="4" spans="1:6" ht="12.75" customHeight="1" x14ac:dyDescent="0.35">
      <c r="C4" s="235"/>
    </row>
    <row r="5" spans="1:6" ht="12.75" customHeight="1" x14ac:dyDescent="0.35">
      <c r="A5" s="199" t="s">
        <v>1258</v>
      </c>
      <c r="C5" s="235"/>
    </row>
    <row r="6" spans="1:6" ht="12.75" customHeight="1" x14ac:dyDescent="0.35">
      <c r="A6" s="199" t="s">
        <v>0</v>
      </c>
      <c r="C6" s="235"/>
    </row>
    <row r="7" spans="1:6" ht="12.75" customHeight="1" x14ac:dyDescent="0.35">
      <c r="A7" s="199" t="s">
        <v>1</v>
      </c>
      <c r="C7" s="235"/>
    </row>
    <row r="8" spans="1:6" ht="12.75" customHeight="1" x14ac:dyDescent="0.35">
      <c r="C8" s="235"/>
    </row>
    <row r="9" spans="1:6" ht="12.75" customHeight="1" x14ac:dyDescent="0.35">
      <c r="C9" s="235"/>
    </row>
    <row r="10" spans="1:6" ht="12.75" customHeight="1" x14ac:dyDescent="0.35">
      <c r="A10" s="198" t="s">
        <v>1228</v>
      </c>
      <c r="C10" s="235"/>
    </row>
    <row r="11" spans="1:6" ht="12.75" customHeight="1" x14ac:dyDescent="0.35">
      <c r="A11" s="198" t="s">
        <v>1231</v>
      </c>
      <c r="C11" s="235"/>
    </row>
    <row r="12" spans="1:6" ht="12.75" customHeight="1" x14ac:dyDescent="0.35">
      <c r="C12" s="235"/>
    </row>
    <row r="13" spans="1:6" ht="12.75" customHeight="1" x14ac:dyDescent="0.35">
      <c r="C13" s="235"/>
    </row>
    <row r="14" spans="1:6" ht="12.75" customHeight="1" x14ac:dyDescent="0.35">
      <c r="A14" s="199" t="s">
        <v>2</v>
      </c>
      <c r="C14" s="235"/>
    </row>
    <row r="15" spans="1:6" ht="12.75" customHeight="1" x14ac:dyDescent="0.35">
      <c r="A15" s="199"/>
      <c r="C15" s="235"/>
    </row>
    <row r="16" spans="1:6" ht="12.75" customHeight="1" x14ac:dyDescent="0.35">
      <c r="A16" s="180" t="s">
        <v>1260</v>
      </c>
      <c r="C16" s="235"/>
      <c r="F16" s="282" t="s">
        <v>1259</v>
      </c>
    </row>
    <row r="17" spans="1:6" ht="12.75" customHeight="1" x14ac:dyDescent="0.35">
      <c r="A17" s="180" t="s">
        <v>1230</v>
      </c>
      <c r="C17" s="282" t="s">
        <v>1259</v>
      </c>
    </row>
    <row r="18" spans="1:6" ht="12.75" customHeight="1" x14ac:dyDescent="0.35">
      <c r="A18" s="227"/>
      <c r="C18" s="235"/>
    </row>
    <row r="19" spans="1:6" ht="12.75" customHeight="1" x14ac:dyDescent="0.35">
      <c r="C19" s="235"/>
    </row>
    <row r="20" spans="1:6" ht="12.75" customHeight="1" x14ac:dyDescent="0.3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35">
      <c r="A21" s="199"/>
      <c r="C21" s="235"/>
    </row>
    <row r="22" spans="1:6" ht="12.65" customHeight="1" x14ac:dyDescent="0.35">
      <c r="A22" s="236" t="s">
        <v>1254</v>
      </c>
      <c r="B22" s="237"/>
      <c r="C22" s="238"/>
      <c r="D22" s="236"/>
      <c r="E22" s="236"/>
    </row>
    <row r="23" spans="1:6" ht="12.65" customHeight="1" x14ac:dyDescent="0.35">
      <c r="B23" s="199"/>
      <c r="C23" s="235"/>
    </row>
    <row r="24" spans="1:6" ht="12.65" customHeight="1" x14ac:dyDescent="0.35">
      <c r="A24" s="239" t="s">
        <v>3</v>
      </c>
      <c r="C24" s="235"/>
    </row>
    <row r="25" spans="1:6" ht="12.65" customHeight="1" x14ac:dyDescent="0.35">
      <c r="A25" s="198" t="s">
        <v>1235</v>
      </c>
      <c r="C25" s="235"/>
    </row>
    <row r="26" spans="1:6" ht="12.65" customHeight="1" x14ac:dyDescent="0.35">
      <c r="A26" s="199" t="s">
        <v>4</v>
      </c>
      <c r="C26" s="235"/>
    </row>
    <row r="27" spans="1:6" ht="12.65" customHeight="1" x14ac:dyDescent="0.35">
      <c r="A27" s="198" t="s">
        <v>1236</v>
      </c>
      <c r="C27" s="235"/>
    </row>
    <row r="28" spans="1:6" ht="12.65" customHeight="1" x14ac:dyDescent="0.35">
      <c r="A28" s="199" t="s">
        <v>5</v>
      </c>
      <c r="C28" s="235"/>
    </row>
    <row r="29" spans="1:6" ht="12.65" customHeight="1" x14ac:dyDescent="0.35">
      <c r="A29" s="198"/>
      <c r="C29" s="235"/>
    </row>
    <row r="30" spans="1:6" ht="12.65" customHeight="1" x14ac:dyDescent="0.35">
      <c r="A30" s="180" t="s">
        <v>6</v>
      </c>
      <c r="C30" s="235"/>
    </row>
    <row r="31" spans="1:6" ht="12.65" customHeight="1" x14ac:dyDescent="0.35">
      <c r="A31" s="199" t="s">
        <v>7</v>
      </c>
      <c r="C31" s="235"/>
    </row>
    <row r="32" spans="1:6" ht="12.65" customHeight="1" x14ac:dyDescent="0.35">
      <c r="A32" s="199" t="s">
        <v>8</v>
      </c>
      <c r="C32" s="235"/>
    </row>
    <row r="33" spans="1:83" ht="12.65" customHeight="1" x14ac:dyDescent="0.35">
      <c r="A33" s="198" t="s">
        <v>1237</v>
      </c>
      <c r="C33" s="235"/>
    </row>
    <row r="34" spans="1:83" ht="12.65" customHeight="1" x14ac:dyDescent="0.35">
      <c r="A34" s="199" t="s">
        <v>9</v>
      </c>
      <c r="C34" s="235"/>
    </row>
    <row r="35" spans="1:83" ht="12.65" customHeight="1" x14ac:dyDescent="0.35">
      <c r="A35" s="199"/>
      <c r="C35" s="235"/>
    </row>
    <row r="36" spans="1:83" ht="12.65" customHeight="1" x14ac:dyDescent="0.35">
      <c r="A36" s="198" t="s">
        <v>1238</v>
      </c>
      <c r="C36" s="235"/>
    </row>
    <row r="37" spans="1:83" ht="12.65" customHeight="1" x14ac:dyDescent="0.35">
      <c r="A37" s="199" t="s">
        <v>1229</v>
      </c>
      <c r="C37" s="235"/>
    </row>
    <row r="38" spans="1:83" ht="12" customHeight="1" x14ac:dyDescent="0.35">
      <c r="A38" s="198"/>
      <c r="C38" s="235"/>
    </row>
    <row r="39" spans="1:83" ht="12.65" customHeight="1" x14ac:dyDescent="0.35">
      <c r="A39" s="199"/>
      <c r="C39" s="235"/>
    </row>
    <row r="40" spans="1:83" ht="12" customHeight="1" x14ac:dyDescent="0.35">
      <c r="A40" s="199"/>
      <c r="C40" s="235"/>
    </row>
    <row r="41" spans="1:83" ht="12" customHeight="1" x14ac:dyDescent="0.3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3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35">
      <c r="A43" s="199"/>
      <c r="C43" s="235"/>
      <c r="F43" s="181"/>
    </row>
    <row r="44" spans="1:83" ht="12" customHeight="1" x14ac:dyDescent="0.3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3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5" customHeight="1" x14ac:dyDescent="0.3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5" customHeight="1" x14ac:dyDescent="0.35">
      <c r="A47" s="175" t="s">
        <v>204</v>
      </c>
      <c r="B47" s="183">
        <v>3769192.32</v>
      </c>
      <c r="C47" s="184"/>
      <c r="D47" s="184"/>
      <c r="E47" s="184">
        <f>528688-11938</f>
        <v>516750</v>
      </c>
      <c r="F47" s="184"/>
      <c r="G47" s="184"/>
      <c r="H47" s="184"/>
      <c r="I47" s="184"/>
      <c r="J47" s="184"/>
      <c r="K47" s="184"/>
      <c r="L47" s="184">
        <v>11938</v>
      </c>
      <c r="M47" s="184"/>
      <c r="N47" s="184"/>
      <c r="O47" s="184">
        <v>143051</v>
      </c>
      <c r="P47" s="184">
        <v>205469</v>
      </c>
      <c r="Q47" s="184">
        <v>99470</v>
      </c>
      <c r="R47" s="184">
        <v>9440</v>
      </c>
      <c r="S47" s="184">
        <v>29897</v>
      </c>
      <c r="T47" s="184"/>
      <c r="U47" s="184">
        <f>134164</f>
        <v>134164</v>
      </c>
      <c r="V47" s="184"/>
      <c r="W47" s="184"/>
      <c r="X47" s="184"/>
      <c r="Y47" s="184">
        <v>205192</v>
      </c>
      <c r="Z47" s="184"/>
      <c r="AA47" s="184"/>
      <c r="AB47" s="184">
        <v>41530</v>
      </c>
      <c r="AC47" s="184">
        <v>54610</v>
      </c>
      <c r="AD47" s="184"/>
      <c r="AE47" s="184">
        <v>115471</v>
      </c>
      <c r="AF47" s="184"/>
      <c r="AG47" s="184">
        <v>339369</v>
      </c>
      <c r="AH47" s="184"/>
      <c r="AI47" s="184"/>
      <c r="AJ47" s="184"/>
      <c r="AK47" s="184"/>
      <c r="AL47" s="184"/>
      <c r="AM47" s="184"/>
      <c r="AN47" s="184"/>
      <c r="AO47" s="184"/>
      <c r="AP47" s="184">
        <v>775300</v>
      </c>
      <c r="AQ47" s="184"/>
      <c r="AR47" s="184"/>
      <c r="AS47" s="184"/>
      <c r="AT47" s="184"/>
      <c r="AU47" s="184"/>
      <c r="AV47" s="184"/>
      <c r="AW47" s="184"/>
      <c r="AX47" s="184"/>
      <c r="AY47" s="184">
        <v>91671</v>
      </c>
      <c r="AZ47" s="184"/>
      <c r="BA47" s="184"/>
      <c r="BB47" s="184"/>
      <c r="BC47" s="184"/>
      <c r="BD47" s="184">
        <v>30450</v>
      </c>
      <c r="BE47" s="184">
        <v>54372</v>
      </c>
      <c r="BF47" s="184">
        <v>130243</v>
      </c>
      <c r="BG47" s="184">
        <v>14838</v>
      </c>
      <c r="BH47" s="184">
        <v>55259</v>
      </c>
      <c r="BI47" s="184"/>
      <c r="BJ47" s="184">
        <v>83880</v>
      </c>
      <c r="BK47" s="184">
        <v>176053</v>
      </c>
      <c r="BL47" s="184">
        <v>126024</v>
      </c>
      <c r="BM47" s="184"/>
      <c r="BN47" s="184">
        <v>79125</v>
      </c>
      <c r="BO47" s="184">
        <v>3</v>
      </c>
      <c r="BP47" s="184"/>
      <c r="BQ47" s="184"/>
      <c r="BR47" s="184">
        <v>39642</v>
      </c>
      <c r="BS47" s="184"/>
      <c r="BT47" s="184"/>
      <c r="BU47" s="184"/>
      <c r="BV47" s="184">
        <v>118445</v>
      </c>
      <c r="BW47" s="184"/>
      <c r="BX47" s="184">
        <v>19497</v>
      </c>
      <c r="BY47" s="184">
        <v>65101</v>
      </c>
      <c r="BZ47" s="184"/>
      <c r="CA47" s="184">
        <v>11</v>
      </c>
      <c r="CB47" s="184"/>
      <c r="CC47" s="184">
        <v>2030</v>
      </c>
      <c r="CD47" s="195"/>
      <c r="CE47" s="195">
        <f>SUM(C47:CC47)</f>
        <v>3768295</v>
      </c>
    </row>
    <row r="48" spans="1:83" ht="12.65" customHeight="1" x14ac:dyDescent="0.35">
      <c r="A48" s="175" t="s">
        <v>205</v>
      </c>
      <c r="B48" s="183">
        <v>-4603.07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-623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-14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-146</v>
      </c>
      <c r="P48" s="195">
        <f>ROUND(((B48/CE61)*P61),0)</f>
        <v>-234</v>
      </c>
      <c r="Q48" s="195">
        <f>ROUND(((B48/CE61)*Q61),0)</f>
        <v>-140</v>
      </c>
      <c r="R48" s="195">
        <f>ROUND(((B48/CE61)*R61),0)</f>
        <v>-13</v>
      </c>
      <c r="S48" s="195">
        <f>ROUND(((B48/CE61)*S61),0)</f>
        <v>-18</v>
      </c>
      <c r="T48" s="195">
        <f>ROUND(((B48/CE61)*T61),0)</f>
        <v>0</v>
      </c>
      <c r="U48" s="195">
        <f>ROUND(((B48/CE61)*U61),0)</f>
        <v>-167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-249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-57</v>
      </c>
      <c r="AC48" s="195">
        <f>ROUND(((B48/CE61)*AC61),0)</f>
        <v>-70</v>
      </c>
      <c r="AD48" s="195">
        <f>ROUND(((B48/CE61)*AD61),0)</f>
        <v>0</v>
      </c>
      <c r="AE48" s="195">
        <f>ROUND(((B48/CE61)*AE61),0)</f>
        <v>-138</v>
      </c>
      <c r="AF48" s="195">
        <f>ROUND(((B48/CE61)*AF61),0)</f>
        <v>0</v>
      </c>
      <c r="AG48" s="195">
        <f>ROUND(((B48/CE61)*AG61),0)</f>
        <v>-473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-1227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-69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-27</v>
      </c>
      <c r="BE48" s="195">
        <f>ROUND(((B48/CE61)*BE61),0)</f>
        <v>-59</v>
      </c>
      <c r="BF48" s="195">
        <f>ROUND(((B48/CE61)*BF61),0)</f>
        <v>-95</v>
      </c>
      <c r="BG48" s="195">
        <f>ROUND(((B48/CE61)*BG61),0)</f>
        <v>-7</v>
      </c>
      <c r="BH48" s="195">
        <f>ROUND(((B48/CE61)*BH61),0)</f>
        <v>-66</v>
      </c>
      <c r="BI48" s="195">
        <f>ROUND(((B48/CE61)*BI61),0)</f>
        <v>0</v>
      </c>
      <c r="BJ48" s="195">
        <f>ROUND(((B48/CE61)*BJ61),0)</f>
        <v>-112</v>
      </c>
      <c r="BK48" s="195">
        <f>ROUND(((B48/CE61)*BK61),0)</f>
        <v>-134</v>
      </c>
      <c r="BL48" s="195">
        <f>ROUND(((B48/CE61)*BL61),0)</f>
        <v>-52</v>
      </c>
      <c r="BM48" s="195">
        <f>ROUND(((B48/CE61)*BM61),0)</f>
        <v>0</v>
      </c>
      <c r="BN48" s="195">
        <f>ROUND(((B48/CE61)*BN61),0)</f>
        <v>-135</v>
      </c>
      <c r="BO48" s="195">
        <f>ROUND(((B48/CE61)*BO61),0)</f>
        <v>-13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-52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-116</v>
      </c>
      <c r="BW48" s="195">
        <f>ROUND(((B48/CE61)*BW61),0)</f>
        <v>0</v>
      </c>
      <c r="BX48" s="195">
        <f>ROUND(((B48/CE61)*BX61),0)</f>
        <v>-23</v>
      </c>
      <c r="BY48" s="195">
        <f>ROUND(((B48/CE61)*BY61),0)</f>
        <v>-65</v>
      </c>
      <c r="BZ48" s="195">
        <f>ROUND(((B48/CE61)*BZ61),0)</f>
        <v>0</v>
      </c>
      <c r="CA48" s="195">
        <f>ROUND(((B48/CE61)*CA61),0)</f>
        <v>-1</v>
      </c>
      <c r="CB48" s="195">
        <f>ROUND(((B48/CE61)*CB61),0)</f>
        <v>0</v>
      </c>
      <c r="CC48" s="195">
        <f>ROUND(((B48/CE61)*CC61),0)</f>
        <v>-8</v>
      </c>
      <c r="CD48" s="195"/>
      <c r="CE48" s="195">
        <f>SUM(C48:CD48)</f>
        <v>-4603</v>
      </c>
    </row>
    <row r="49" spans="1:84" ht="12.65" customHeight="1" x14ac:dyDescent="0.35">
      <c r="A49" s="175" t="s">
        <v>206</v>
      </c>
      <c r="B49" s="195">
        <f>B47+B48</f>
        <v>3764589.25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5" customHeight="1" x14ac:dyDescent="0.3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5" customHeight="1" x14ac:dyDescent="0.35">
      <c r="A51" s="171" t="s">
        <v>207</v>
      </c>
      <c r="B51" s="184">
        <v>1070983</v>
      </c>
      <c r="C51" s="184"/>
      <c r="D51" s="184"/>
      <c r="E51" s="184">
        <f>41720.75-941.98</f>
        <v>40778.769999999997</v>
      </c>
      <c r="F51" s="184"/>
      <c r="G51" s="184"/>
      <c r="H51" s="184"/>
      <c r="I51" s="184"/>
      <c r="J51" s="184"/>
      <c r="K51" s="184"/>
      <c r="L51" s="184">
        <v>941.98</v>
      </c>
      <c r="M51" s="184"/>
      <c r="N51" s="184"/>
      <c r="O51" s="184">
        <v>41463.49</v>
      </c>
      <c r="P51" s="184">
        <v>304952.14</v>
      </c>
      <c r="Q51" s="184">
        <v>4655.3</v>
      </c>
      <c r="R51" s="184"/>
      <c r="S51" s="184">
        <v>754.01</v>
      </c>
      <c r="T51" s="184"/>
      <c r="U51" s="184">
        <v>22479.32</v>
      </c>
      <c r="V51" s="184">
        <v>366.43</v>
      </c>
      <c r="W51" s="184"/>
      <c r="X51" s="184"/>
      <c r="Y51" s="184">
        <v>357412.12</v>
      </c>
      <c r="Z51" s="184"/>
      <c r="AA51" s="184"/>
      <c r="AB51" s="184"/>
      <c r="AC51" s="184">
        <v>11578.82</v>
      </c>
      <c r="AD51" s="184"/>
      <c r="AE51" s="184">
        <v>54.77</v>
      </c>
      <c r="AF51" s="184"/>
      <c r="AG51" s="184">
        <v>156549.99</v>
      </c>
      <c r="AH51" s="184"/>
      <c r="AI51" s="184"/>
      <c r="AJ51" s="184"/>
      <c r="AK51" s="184"/>
      <c r="AL51" s="184"/>
      <c r="AM51" s="184"/>
      <c r="AN51" s="184"/>
      <c r="AO51" s="184"/>
      <c r="AP51" s="184">
        <v>55462.75</v>
      </c>
      <c r="AQ51" s="184"/>
      <c r="AR51" s="184"/>
      <c r="AS51" s="184"/>
      <c r="AT51" s="184"/>
      <c r="AU51" s="184"/>
      <c r="AV51" s="184"/>
      <c r="AW51" s="184"/>
      <c r="AX51" s="184"/>
      <c r="AY51" s="184">
        <v>6977.39</v>
      </c>
      <c r="AZ51" s="184"/>
      <c r="BA51" s="184"/>
      <c r="BB51" s="184"/>
      <c r="BC51" s="184"/>
      <c r="BD51" s="184"/>
      <c r="BE51" s="184">
        <f>2005.51+21232.99</f>
        <v>23238.5</v>
      </c>
      <c r="BF51" s="184">
        <v>381.71</v>
      </c>
      <c r="BG51" s="184"/>
      <c r="BH51" s="184">
        <v>19349.62</v>
      </c>
      <c r="BI51" s="184"/>
      <c r="BJ51" s="184">
        <v>19095.62</v>
      </c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>
        <v>464.94</v>
      </c>
      <c r="BW51" s="184"/>
      <c r="BX51" s="184"/>
      <c r="BY51" s="184"/>
      <c r="BZ51" s="184"/>
      <c r="CA51" s="184">
        <v>4025.62</v>
      </c>
      <c r="CB51" s="184"/>
      <c r="CC51" s="184"/>
      <c r="CD51" s="195"/>
      <c r="CE51" s="195">
        <f>SUM(C51:CD51)</f>
        <v>1070983.29</v>
      </c>
    </row>
    <row r="52" spans="1:84" ht="12.65" customHeight="1" x14ac:dyDescent="0.35">
      <c r="A52" s="171" t="s">
        <v>208</v>
      </c>
      <c r="B52" s="184">
        <v>230798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17840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397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4285</v>
      </c>
      <c r="P52" s="195">
        <f>ROUND((B52/(CE76+CF76)*P76),0)</f>
        <v>11417</v>
      </c>
      <c r="Q52" s="195">
        <f>ROUND((B52/(CE76+CF76)*Q76),0)</f>
        <v>3385</v>
      </c>
      <c r="R52" s="195">
        <f>ROUND((B52/(CE76+CF76)*R76),0)</f>
        <v>0</v>
      </c>
      <c r="S52" s="195">
        <f>ROUND((B52/(CE76+CF76)*S76),0)</f>
        <v>4550</v>
      </c>
      <c r="T52" s="195">
        <f>ROUND((B52/(CE76+CF76)*T76),0)</f>
        <v>0</v>
      </c>
      <c r="U52" s="195">
        <f>ROUND((B52/(CE76+CF76)*U76),0)</f>
        <v>3390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15640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1643</v>
      </c>
      <c r="AC52" s="195">
        <f>ROUND((B52/(CE76+CF76)*AC76),0)</f>
        <v>1101</v>
      </c>
      <c r="AD52" s="195">
        <f>ROUND((B52/(CE76+CF76)*AD76),0)</f>
        <v>0</v>
      </c>
      <c r="AE52" s="195">
        <f>ROUND((B52/(CE76+CF76)*AE76),0)</f>
        <v>6518</v>
      </c>
      <c r="AF52" s="195">
        <f>ROUND((B52/(CE76+CF76)*AF76),0)</f>
        <v>0</v>
      </c>
      <c r="AG52" s="195">
        <f>ROUND((B52/(CE76+CF76)*AG76),0)</f>
        <v>10064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43681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6020</v>
      </c>
      <c r="AZ52" s="195">
        <f>ROUND((B52/(CE76+CF76)*AZ76),0)</f>
        <v>0</v>
      </c>
      <c r="BA52" s="195">
        <f>ROUND((B52/(CE76+CF76)*BA76),0)</f>
        <v>1414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959</v>
      </c>
      <c r="BE52" s="195">
        <f>ROUND((B52/(CE76+CF76)*BE76),0)</f>
        <v>73785</v>
      </c>
      <c r="BF52" s="195">
        <f>ROUND((B52/(CE76+CF76)*BF76),0)</f>
        <v>978</v>
      </c>
      <c r="BG52" s="195">
        <f>ROUND((B52/(CE76+CF76)*BG76),0)</f>
        <v>816</v>
      </c>
      <c r="BH52" s="195">
        <f>ROUND((B52/(CE76+CF76)*BH76),0)</f>
        <v>1822</v>
      </c>
      <c r="BI52" s="195">
        <f>ROUND((B52/(CE76+CF76)*BI76),0)</f>
        <v>0</v>
      </c>
      <c r="BJ52" s="195">
        <f>ROUND((B52/(CE76+CF76)*BJ76),0)</f>
        <v>1719</v>
      </c>
      <c r="BK52" s="195">
        <f>ROUND((B52/(CE76+CF76)*BK76),0)</f>
        <v>4899</v>
      </c>
      <c r="BL52" s="195">
        <f>ROUND((B52/(CE76+CF76)*BL76),0)</f>
        <v>704</v>
      </c>
      <c r="BM52" s="195">
        <f>ROUND((B52/(CE76+CF76)*BM76),0)</f>
        <v>0</v>
      </c>
      <c r="BN52" s="195">
        <f>ROUND((B52/(CE76+CF76)*BN76),0)</f>
        <v>1959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903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4215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685</v>
      </c>
      <c r="BZ52" s="195">
        <f>ROUND((B52/(CE76+CF76)*BZ76),0)</f>
        <v>0</v>
      </c>
      <c r="CA52" s="195">
        <f>ROUND((B52/(CE76+CF76)*CA76),0)</f>
        <v>6009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230798</v>
      </c>
    </row>
    <row r="53" spans="1:84" ht="12.65" customHeight="1" x14ac:dyDescent="0.35">
      <c r="A53" s="175" t="s">
        <v>206</v>
      </c>
      <c r="B53" s="195">
        <f>B51+B52</f>
        <v>1301781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3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5" customHeight="1" x14ac:dyDescent="0.3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5" customHeight="1" x14ac:dyDescent="0.3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5" customHeight="1" x14ac:dyDescent="0.3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5" customHeight="1" x14ac:dyDescent="0.3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5" customHeight="1" x14ac:dyDescent="0.35">
      <c r="A59" s="171" t="s">
        <v>233</v>
      </c>
      <c r="B59" s="175"/>
      <c r="C59" s="184">
        <v>0</v>
      </c>
      <c r="D59" s="184"/>
      <c r="E59" s="184">
        <v>1725</v>
      </c>
      <c r="F59" s="184"/>
      <c r="G59" s="184"/>
      <c r="H59" s="184"/>
      <c r="I59" s="184"/>
      <c r="J59" s="184">
        <v>387</v>
      </c>
      <c r="K59" s="184"/>
      <c r="L59" s="184">
        <v>49</v>
      </c>
      <c r="M59" s="184"/>
      <c r="N59" s="184"/>
      <c r="O59" s="184">
        <v>216</v>
      </c>
      <c r="P59" s="185">
        <v>116968</v>
      </c>
      <c r="Q59" s="185">
        <v>125899</v>
      </c>
      <c r="R59" s="185">
        <v>125724</v>
      </c>
      <c r="S59" s="247"/>
      <c r="T59" s="247"/>
      <c r="U59" s="224">
        <v>73713</v>
      </c>
      <c r="V59" s="185">
        <v>2350</v>
      </c>
      <c r="W59" s="185"/>
      <c r="X59" s="185"/>
      <c r="Y59" s="185"/>
      <c r="Z59" s="185"/>
      <c r="AA59" s="185"/>
      <c r="AB59" s="247"/>
      <c r="AC59" s="185">
        <v>1432</v>
      </c>
      <c r="AD59" s="185"/>
      <c r="AE59" s="185">
        <v>12540</v>
      </c>
      <c r="AF59" s="185"/>
      <c r="AG59" s="185">
        <v>8824</v>
      </c>
      <c r="AH59" s="185"/>
      <c r="AI59" s="185"/>
      <c r="AJ59" s="185"/>
      <c r="AK59" s="185"/>
      <c r="AL59" s="185"/>
      <c r="AM59" s="185"/>
      <c r="AN59" s="185"/>
      <c r="AO59" s="185"/>
      <c r="AP59" s="185">
        <v>19884</v>
      </c>
      <c r="AQ59" s="185"/>
      <c r="AR59" s="185"/>
      <c r="AS59" s="185"/>
      <c r="AT59" s="185"/>
      <c r="AU59" s="185"/>
      <c r="AV59" s="247"/>
      <c r="AW59" s="247"/>
      <c r="AX59" s="247"/>
      <c r="AY59" s="185">
        <v>8233</v>
      </c>
      <c r="AZ59" s="185"/>
      <c r="BA59" s="247"/>
      <c r="BB59" s="247"/>
      <c r="BC59" s="247"/>
      <c r="BD59" s="247"/>
      <c r="BE59" s="185">
        <v>82579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5" customHeight="1" x14ac:dyDescent="0.35">
      <c r="A60" s="249" t="s">
        <v>234</v>
      </c>
      <c r="B60" s="175"/>
      <c r="C60" s="186">
        <v>0</v>
      </c>
      <c r="D60" s="187"/>
      <c r="E60" s="187">
        <v>28.17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5.42</v>
      </c>
      <c r="P60" s="221">
        <v>9.9600000000000009</v>
      </c>
      <c r="Q60" s="221">
        <v>4.72</v>
      </c>
      <c r="R60" s="221">
        <v>0.21</v>
      </c>
      <c r="S60" s="221">
        <v>2.08</v>
      </c>
      <c r="T60" s="221"/>
      <c r="U60" s="221">
        <v>8.66</v>
      </c>
      <c r="V60" s="221"/>
      <c r="W60" s="221"/>
      <c r="X60" s="221"/>
      <c r="Y60" s="221">
        <v>10.97</v>
      </c>
      <c r="Z60" s="221"/>
      <c r="AA60" s="221"/>
      <c r="AB60" s="221">
        <v>2.0299999999999998</v>
      </c>
      <c r="AC60" s="221">
        <v>2.94</v>
      </c>
      <c r="AD60" s="221"/>
      <c r="AE60" s="221">
        <v>6.17</v>
      </c>
      <c r="AF60" s="221"/>
      <c r="AG60" s="221">
        <v>20.82</v>
      </c>
      <c r="AH60" s="221"/>
      <c r="AI60" s="221"/>
      <c r="AJ60" s="221"/>
      <c r="AK60" s="221"/>
      <c r="AL60" s="221"/>
      <c r="AM60" s="221"/>
      <c r="AN60" s="221"/>
      <c r="AO60" s="221"/>
      <c r="AP60" s="221">
        <v>37.380000000000003</v>
      </c>
      <c r="AQ60" s="221"/>
      <c r="AR60" s="221"/>
      <c r="AS60" s="221"/>
      <c r="AT60" s="221"/>
      <c r="AU60" s="221"/>
      <c r="AV60" s="221"/>
      <c r="AW60" s="221"/>
      <c r="AX60" s="221"/>
      <c r="AY60" s="221">
        <v>5.84</v>
      </c>
      <c r="AZ60" s="221"/>
      <c r="BA60" s="221"/>
      <c r="BB60" s="221"/>
      <c r="BC60" s="221"/>
      <c r="BD60" s="221">
        <v>1.81</v>
      </c>
      <c r="BE60" s="221">
        <v>3.12</v>
      </c>
      <c r="BF60" s="221">
        <v>9.16</v>
      </c>
      <c r="BG60" s="221">
        <v>0.39</v>
      </c>
      <c r="BH60" s="221">
        <v>2.85</v>
      </c>
      <c r="BI60" s="221"/>
      <c r="BJ60" s="221">
        <v>4.09</v>
      </c>
      <c r="BK60" s="221">
        <v>12.17</v>
      </c>
      <c r="BL60" s="221">
        <v>4.8099999999999996</v>
      </c>
      <c r="BM60" s="221"/>
      <c r="BN60" s="221">
        <v>3.35</v>
      </c>
      <c r="BO60" s="221">
        <v>0.3</v>
      </c>
      <c r="BP60" s="221"/>
      <c r="BQ60" s="221"/>
      <c r="BR60" s="221">
        <v>2.08</v>
      </c>
      <c r="BS60" s="221"/>
      <c r="BT60" s="221"/>
      <c r="BU60" s="221"/>
      <c r="BV60" s="221">
        <v>8.18</v>
      </c>
      <c r="BW60" s="221"/>
      <c r="BX60" s="221">
        <v>1.0900000000000001</v>
      </c>
      <c r="BY60" s="221">
        <v>2</v>
      </c>
      <c r="BZ60" s="221"/>
      <c r="CA60" s="221">
        <v>0.03</v>
      </c>
      <c r="CB60" s="221"/>
      <c r="CC60" s="221">
        <v>0.1</v>
      </c>
      <c r="CD60" s="248" t="s">
        <v>221</v>
      </c>
      <c r="CE60" s="250">
        <f t="shared" ref="CE60:CE70" si="0">SUM(C60:CD60)</f>
        <v>200.9</v>
      </c>
    </row>
    <row r="61" spans="1:84" ht="12.65" customHeight="1" x14ac:dyDescent="0.35">
      <c r="A61" s="171" t="s">
        <v>235</v>
      </c>
      <c r="B61" s="175"/>
      <c r="C61" s="184"/>
      <c r="D61" s="184"/>
      <c r="E61" s="184">
        <f>2058095-46473.19</f>
        <v>2011621.81</v>
      </c>
      <c r="F61" s="185"/>
      <c r="G61" s="184"/>
      <c r="H61" s="184"/>
      <c r="I61" s="185"/>
      <c r="J61" s="185"/>
      <c r="K61" s="185"/>
      <c r="L61" s="185">
        <v>46473.19</v>
      </c>
      <c r="M61" s="184"/>
      <c r="N61" s="184"/>
      <c r="O61" s="184">
        <v>470870</v>
      </c>
      <c r="P61" s="185">
        <v>754322</v>
      </c>
      <c r="Q61" s="185">
        <v>451511</v>
      </c>
      <c r="R61" s="185">
        <v>41960</v>
      </c>
      <c r="S61" s="185">
        <v>59500</v>
      </c>
      <c r="T61" s="185"/>
      <c r="U61" s="185">
        <f>540667</f>
        <v>540667</v>
      </c>
      <c r="V61" s="185">
        <v>930</v>
      </c>
      <c r="W61" s="185"/>
      <c r="X61" s="185"/>
      <c r="Y61" s="185">
        <v>805238</v>
      </c>
      <c r="Z61" s="185"/>
      <c r="AA61" s="185"/>
      <c r="AB61" s="185">
        <v>183173</v>
      </c>
      <c r="AC61" s="185">
        <v>225195</v>
      </c>
      <c r="AD61" s="185"/>
      <c r="AE61" s="185">
        <v>446500</v>
      </c>
      <c r="AF61" s="185"/>
      <c r="AG61" s="185">
        <v>1526279</v>
      </c>
      <c r="AH61" s="185"/>
      <c r="AI61" s="185"/>
      <c r="AJ61" s="185"/>
      <c r="AK61" s="185"/>
      <c r="AL61" s="185"/>
      <c r="AM61" s="185"/>
      <c r="AN61" s="185"/>
      <c r="AO61" s="185"/>
      <c r="AP61" s="185">
        <v>3962398</v>
      </c>
      <c r="AQ61" s="185"/>
      <c r="AR61" s="185"/>
      <c r="AS61" s="185"/>
      <c r="AT61" s="185"/>
      <c r="AU61" s="185"/>
      <c r="AV61" s="185"/>
      <c r="AW61" s="185"/>
      <c r="AX61" s="185"/>
      <c r="AY61" s="185">
        <v>221406</v>
      </c>
      <c r="AZ61" s="185"/>
      <c r="BA61" s="185"/>
      <c r="BB61" s="185"/>
      <c r="BC61" s="185"/>
      <c r="BD61" s="185">
        <v>88410</v>
      </c>
      <c r="BE61" s="185">
        <v>192005</v>
      </c>
      <c r="BF61" s="185">
        <v>308281</v>
      </c>
      <c r="BG61" s="185">
        <v>24181</v>
      </c>
      <c r="BH61" s="185">
        <v>212558</v>
      </c>
      <c r="BI61" s="185"/>
      <c r="BJ61" s="185">
        <v>363086</v>
      </c>
      <c r="BK61" s="185">
        <v>432784</v>
      </c>
      <c r="BL61" s="185">
        <v>166878</v>
      </c>
      <c r="BM61" s="185"/>
      <c r="BN61" s="185">
        <v>434865</v>
      </c>
      <c r="BO61" s="185">
        <v>40757</v>
      </c>
      <c r="BP61" s="185"/>
      <c r="BQ61" s="185"/>
      <c r="BR61" s="185">
        <v>167341</v>
      </c>
      <c r="BS61" s="185"/>
      <c r="BT61" s="185"/>
      <c r="BU61" s="185"/>
      <c r="BV61" s="185">
        <v>373757</v>
      </c>
      <c r="BW61" s="185"/>
      <c r="BX61" s="185">
        <v>74736</v>
      </c>
      <c r="BY61" s="185">
        <v>210367</v>
      </c>
      <c r="BZ61" s="185"/>
      <c r="CA61" s="185">
        <v>2548</v>
      </c>
      <c r="CB61" s="185"/>
      <c r="CC61" s="185">
        <v>24406</v>
      </c>
      <c r="CD61" s="248" t="s">
        <v>221</v>
      </c>
      <c r="CE61" s="195">
        <f t="shared" si="0"/>
        <v>14865004</v>
      </c>
      <c r="CF61" s="251"/>
    </row>
    <row r="62" spans="1:84" ht="12.65" customHeight="1" x14ac:dyDescent="0.3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516127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11924</v>
      </c>
      <c r="M62" s="195">
        <f t="shared" si="1"/>
        <v>0</v>
      </c>
      <c r="N62" s="195">
        <f t="shared" si="1"/>
        <v>0</v>
      </c>
      <c r="O62" s="195">
        <f t="shared" si="1"/>
        <v>142905</v>
      </c>
      <c r="P62" s="195">
        <f t="shared" si="1"/>
        <v>205235</v>
      </c>
      <c r="Q62" s="195">
        <f t="shared" si="1"/>
        <v>99330</v>
      </c>
      <c r="R62" s="195">
        <f t="shared" si="1"/>
        <v>9427</v>
      </c>
      <c r="S62" s="195">
        <f t="shared" si="1"/>
        <v>29879</v>
      </c>
      <c r="T62" s="195">
        <f t="shared" si="1"/>
        <v>0</v>
      </c>
      <c r="U62" s="195">
        <f t="shared" si="1"/>
        <v>133997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204943</v>
      </c>
      <c r="Z62" s="195">
        <f t="shared" si="1"/>
        <v>0</v>
      </c>
      <c r="AA62" s="195">
        <f t="shared" si="1"/>
        <v>0</v>
      </c>
      <c r="AB62" s="195">
        <f t="shared" si="1"/>
        <v>41473</v>
      </c>
      <c r="AC62" s="195">
        <f t="shared" si="1"/>
        <v>54540</v>
      </c>
      <c r="AD62" s="195">
        <f t="shared" si="1"/>
        <v>0</v>
      </c>
      <c r="AE62" s="195">
        <f t="shared" si="1"/>
        <v>115333</v>
      </c>
      <c r="AF62" s="195">
        <f t="shared" si="1"/>
        <v>0</v>
      </c>
      <c r="AG62" s="195">
        <f t="shared" si="1"/>
        <v>338896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774073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91602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30423</v>
      </c>
      <c r="BE62" s="195">
        <f t="shared" si="1"/>
        <v>54313</v>
      </c>
      <c r="BF62" s="195">
        <f t="shared" si="1"/>
        <v>130148</v>
      </c>
      <c r="BG62" s="195">
        <f t="shared" si="1"/>
        <v>14831</v>
      </c>
      <c r="BH62" s="195">
        <f t="shared" si="1"/>
        <v>55193</v>
      </c>
      <c r="BI62" s="195">
        <f t="shared" si="1"/>
        <v>0</v>
      </c>
      <c r="BJ62" s="195">
        <f t="shared" si="1"/>
        <v>83768</v>
      </c>
      <c r="BK62" s="195">
        <f t="shared" si="1"/>
        <v>175919</v>
      </c>
      <c r="BL62" s="195">
        <f t="shared" si="1"/>
        <v>125972</v>
      </c>
      <c r="BM62" s="195">
        <f t="shared" si="1"/>
        <v>0</v>
      </c>
      <c r="BN62" s="195">
        <f t="shared" si="1"/>
        <v>78990</v>
      </c>
      <c r="BO62" s="195">
        <f t="shared" ref="BO62:CC62" si="2">ROUND(BO47+BO48,0)</f>
        <v>-10</v>
      </c>
      <c r="BP62" s="195">
        <f t="shared" si="2"/>
        <v>0</v>
      </c>
      <c r="BQ62" s="195">
        <f t="shared" si="2"/>
        <v>0</v>
      </c>
      <c r="BR62" s="195">
        <f t="shared" si="2"/>
        <v>39590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118329</v>
      </c>
      <c r="BW62" s="195">
        <f t="shared" si="2"/>
        <v>0</v>
      </c>
      <c r="BX62" s="195">
        <f t="shared" si="2"/>
        <v>19474</v>
      </c>
      <c r="BY62" s="195">
        <f t="shared" si="2"/>
        <v>65036</v>
      </c>
      <c r="BZ62" s="195">
        <f t="shared" si="2"/>
        <v>0</v>
      </c>
      <c r="CA62" s="195">
        <f t="shared" si="2"/>
        <v>10</v>
      </c>
      <c r="CB62" s="195">
        <f t="shared" si="2"/>
        <v>0</v>
      </c>
      <c r="CC62" s="195">
        <f t="shared" si="2"/>
        <v>2022</v>
      </c>
      <c r="CD62" s="248" t="s">
        <v>221</v>
      </c>
      <c r="CE62" s="195">
        <f t="shared" si="0"/>
        <v>3763692</v>
      </c>
      <c r="CF62" s="251"/>
    </row>
    <row r="63" spans="1:84" ht="12.65" customHeight="1" x14ac:dyDescent="0.35">
      <c r="A63" s="171" t="s">
        <v>236</v>
      </c>
      <c r="B63" s="175"/>
      <c r="C63" s="184"/>
      <c r="D63" s="184"/>
      <c r="E63" s="184">
        <f>480226-10843.81</f>
        <v>469382.19</v>
      </c>
      <c r="F63" s="185"/>
      <c r="G63" s="184"/>
      <c r="H63" s="184"/>
      <c r="I63" s="185"/>
      <c r="J63" s="185"/>
      <c r="K63" s="185"/>
      <c r="L63" s="185">
        <v>10843.81</v>
      </c>
      <c r="M63" s="184"/>
      <c r="N63" s="184"/>
      <c r="O63" s="184">
        <v>546819</v>
      </c>
      <c r="P63" s="185">
        <v>30751</v>
      </c>
      <c r="Q63" s="185"/>
      <c r="R63" s="185">
        <v>765371</v>
      </c>
      <c r="S63" s="185"/>
      <c r="T63" s="185"/>
      <c r="U63" s="185">
        <v>80586</v>
      </c>
      <c r="V63" s="185"/>
      <c r="W63" s="185"/>
      <c r="X63" s="185"/>
      <c r="Y63" s="185">
        <v>792721</v>
      </c>
      <c r="Z63" s="185"/>
      <c r="AA63" s="185"/>
      <c r="AB63" s="185">
        <v>71930</v>
      </c>
      <c r="AC63" s="185"/>
      <c r="AD63" s="185"/>
      <c r="AE63" s="185"/>
      <c r="AF63" s="185"/>
      <c r="AG63" s="185">
        <v>1718484</v>
      </c>
      <c r="AH63" s="185"/>
      <c r="AI63" s="185"/>
      <c r="AJ63" s="185"/>
      <c r="AK63" s="185"/>
      <c r="AL63" s="185"/>
      <c r="AM63" s="185"/>
      <c r="AN63" s="185"/>
      <c r="AO63" s="185"/>
      <c r="AP63" s="185">
        <v>17124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70392</v>
      </c>
      <c r="BK63" s="185">
        <v>29049</v>
      </c>
      <c r="BL63" s="185"/>
      <c r="BM63" s="185"/>
      <c r="BN63" s="185">
        <v>87078</v>
      </c>
      <c r="BO63" s="185"/>
      <c r="BP63" s="185"/>
      <c r="BQ63" s="185"/>
      <c r="BR63" s="185">
        <v>8904</v>
      </c>
      <c r="BS63" s="185"/>
      <c r="BT63" s="185"/>
      <c r="BU63" s="185"/>
      <c r="BV63" s="185"/>
      <c r="BW63" s="185"/>
      <c r="BX63" s="185"/>
      <c r="BY63" s="185"/>
      <c r="BZ63" s="185"/>
      <c r="CA63" s="185">
        <v>5500</v>
      </c>
      <c r="CB63" s="185"/>
      <c r="CC63" s="185"/>
      <c r="CD63" s="248" t="s">
        <v>221</v>
      </c>
      <c r="CE63" s="195">
        <f t="shared" si="0"/>
        <v>4704935</v>
      </c>
      <c r="CF63" s="251"/>
    </row>
    <row r="64" spans="1:84" ht="12.65" customHeight="1" x14ac:dyDescent="0.35">
      <c r="A64" s="171" t="s">
        <v>237</v>
      </c>
      <c r="B64" s="175"/>
      <c r="C64" s="184"/>
      <c r="D64" s="184"/>
      <c r="E64" s="185">
        <f>74643-1685.48</f>
        <v>72957.52</v>
      </c>
      <c r="F64" s="185"/>
      <c r="G64" s="184"/>
      <c r="H64" s="184"/>
      <c r="I64" s="185"/>
      <c r="J64" s="185"/>
      <c r="K64" s="185"/>
      <c r="L64" s="185">
        <v>1685.48</v>
      </c>
      <c r="M64" s="184"/>
      <c r="N64" s="184"/>
      <c r="O64" s="184">
        <v>31383</v>
      </c>
      <c r="P64" s="185">
        <v>83885</v>
      </c>
      <c r="Q64" s="185">
        <v>12584</v>
      </c>
      <c r="R64" s="185">
        <v>2169</v>
      </c>
      <c r="S64" s="185">
        <v>2144202</v>
      </c>
      <c r="T64" s="185"/>
      <c r="U64" s="185">
        <f>336303+85978</f>
        <v>422281</v>
      </c>
      <c r="V64" s="185"/>
      <c r="W64" s="185"/>
      <c r="X64" s="185"/>
      <c r="Y64" s="185">
        <v>301077</v>
      </c>
      <c r="Z64" s="185"/>
      <c r="AA64" s="185"/>
      <c r="AB64" s="185">
        <v>480029</v>
      </c>
      <c r="AC64" s="185">
        <v>27446</v>
      </c>
      <c r="AD64" s="185"/>
      <c r="AE64" s="185">
        <v>15213</v>
      </c>
      <c r="AF64" s="185"/>
      <c r="AG64" s="185">
        <v>79027</v>
      </c>
      <c r="AH64" s="185"/>
      <c r="AI64" s="185"/>
      <c r="AJ64" s="185"/>
      <c r="AK64" s="185"/>
      <c r="AL64" s="185"/>
      <c r="AM64" s="185"/>
      <c r="AN64" s="185"/>
      <c r="AO64" s="185"/>
      <c r="AP64" s="185">
        <v>174861</v>
      </c>
      <c r="AQ64" s="185"/>
      <c r="AR64" s="185"/>
      <c r="AS64" s="185"/>
      <c r="AT64" s="185"/>
      <c r="AU64" s="185"/>
      <c r="AV64" s="185"/>
      <c r="AW64" s="185"/>
      <c r="AX64" s="185"/>
      <c r="AY64" s="185">
        <v>153494</v>
      </c>
      <c r="AZ64" s="185"/>
      <c r="BA64" s="185"/>
      <c r="BB64" s="185"/>
      <c r="BC64" s="185"/>
      <c r="BD64" s="185">
        <v>738</v>
      </c>
      <c r="BE64" s="185">
        <f>38699+7</f>
        <v>38706</v>
      </c>
      <c r="BF64" s="185">
        <v>31440</v>
      </c>
      <c r="BG64" s="185">
        <v>17</v>
      </c>
      <c r="BH64" s="185">
        <v>22321</v>
      </c>
      <c r="BI64" s="185"/>
      <c r="BJ64" s="185">
        <v>22123</v>
      </c>
      <c r="BK64" s="185">
        <v>46905</v>
      </c>
      <c r="BL64" s="185">
        <v>5174</v>
      </c>
      <c r="BM64" s="185"/>
      <c r="BN64" s="185">
        <v>3564</v>
      </c>
      <c r="BO64" s="185"/>
      <c r="BP64" s="185"/>
      <c r="BQ64" s="185"/>
      <c r="BR64" s="185">
        <v>454</v>
      </c>
      <c r="BS64" s="185"/>
      <c r="BT64" s="185"/>
      <c r="BU64" s="185"/>
      <c r="BV64" s="185">
        <v>3316</v>
      </c>
      <c r="BW64" s="185"/>
      <c r="BX64" s="185"/>
      <c r="BY64" s="185">
        <v>61</v>
      </c>
      <c r="BZ64" s="185"/>
      <c r="CA64" s="185">
        <v>19012</v>
      </c>
      <c r="CB64" s="185"/>
      <c r="CC64" s="185"/>
      <c r="CD64" s="248" t="s">
        <v>221</v>
      </c>
      <c r="CE64" s="195">
        <f t="shared" si="0"/>
        <v>4196125</v>
      </c>
      <c r="CF64" s="251"/>
    </row>
    <row r="65" spans="1:84" ht="12.65" customHeight="1" x14ac:dyDescent="0.35">
      <c r="A65" s="171" t="s">
        <v>238</v>
      </c>
      <c r="B65" s="175"/>
      <c r="C65" s="184"/>
      <c r="D65" s="184"/>
      <c r="E65" s="184">
        <v>0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43685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285316+42973</f>
        <v>328289</v>
      </c>
      <c r="BF65" s="185"/>
      <c r="BG65" s="185">
        <v>79181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f t="shared" si="0"/>
        <v>451155</v>
      </c>
      <c r="CF65" s="251"/>
    </row>
    <row r="66" spans="1:84" ht="12.65" customHeight="1" x14ac:dyDescent="0.35">
      <c r="A66" s="171" t="s">
        <v>239</v>
      </c>
      <c r="B66" s="175"/>
      <c r="C66" s="184"/>
      <c r="D66" s="184"/>
      <c r="E66" s="184">
        <f>186197-4204.49</f>
        <v>181992.51</v>
      </c>
      <c r="F66" s="184"/>
      <c r="G66" s="184"/>
      <c r="H66" s="184"/>
      <c r="I66" s="184"/>
      <c r="J66" s="184"/>
      <c r="K66" s="185"/>
      <c r="L66" s="185">
        <v>4204.49</v>
      </c>
      <c r="M66" s="184"/>
      <c r="N66" s="184"/>
      <c r="O66" s="185">
        <v>51081</v>
      </c>
      <c r="P66" s="185">
        <v>116160</v>
      </c>
      <c r="Q66" s="185">
        <v>5416</v>
      </c>
      <c r="R66" s="185">
        <v>3025</v>
      </c>
      <c r="S66" s="184">
        <v>10683</v>
      </c>
      <c r="T66" s="184"/>
      <c r="U66" s="185">
        <v>132853</v>
      </c>
      <c r="V66" s="185"/>
      <c r="W66" s="185"/>
      <c r="X66" s="185"/>
      <c r="Y66" s="185">
        <v>456305</v>
      </c>
      <c r="Z66" s="185"/>
      <c r="AA66" s="185"/>
      <c r="AB66" s="185">
        <v>17169</v>
      </c>
      <c r="AC66" s="185">
        <v>8962</v>
      </c>
      <c r="AD66" s="185"/>
      <c r="AE66" s="185">
        <v>27288</v>
      </c>
      <c r="AF66" s="185"/>
      <c r="AG66" s="185">
        <v>77831</v>
      </c>
      <c r="AH66" s="185"/>
      <c r="AI66" s="185"/>
      <c r="AJ66" s="185"/>
      <c r="AK66" s="185"/>
      <c r="AL66" s="185"/>
      <c r="AM66" s="185"/>
      <c r="AN66" s="185"/>
      <c r="AO66" s="185"/>
      <c r="AP66" s="185">
        <v>176083</v>
      </c>
      <c r="AQ66" s="185"/>
      <c r="AR66" s="185"/>
      <c r="AS66" s="185"/>
      <c r="AT66" s="185"/>
      <c r="AU66" s="185"/>
      <c r="AV66" s="185"/>
      <c r="AW66" s="185"/>
      <c r="AX66" s="185"/>
      <c r="AY66" s="185">
        <v>6123</v>
      </c>
      <c r="AZ66" s="185"/>
      <c r="BA66" s="185">
        <v>132438</v>
      </c>
      <c r="BB66" s="185"/>
      <c r="BC66" s="185"/>
      <c r="BD66" s="185">
        <v>5136</v>
      </c>
      <c r="BE66" s="185">
        <f>81017+927</f>
        <v>81944</v>
      </c>
      <c r="BF66" s="185">
        <v>3003</v>
      </c>
      <c r="BG66" s="185">
        <v>13459</v>
      </c>
      <c r="BH66" s="185">
        <v>218004</v>
      </c>
      <c r="BI66" s="185"/>
      <c r="BJ66" s="185">
        <v>28192</v>
      </c>
      <c r="BK66" s="185">
        <v>135030</v>
      </c>
      <c r="BL66" s="185">
        <v>7108</v>
      </c>
      <c r="BM66" s="185"/>
      <c r="BN66" s="185">
        <v>70271</v>
      </c>
      <c r="BO66" s="185"/>
      <c r="BP66" s="185"/>
      <c r="BQ66" s="185"/>
      <c r="BR66" s="185">
        <v>7176</v>
      </c>
      <c r="BS66" s="185"/>
      <c r="BT66" s="185"/>
      <c r="BU66" s="185"/>
      <c r="BV66" s="185">
        <v>97454</v>
      </c>
      <c r="BW66" s="185"/>
      <c r="BX66" s="185"/>
      <c r="BY66" s="185"/>
      <c r="BZ66" s="185"/>
      <c r="CA66" s="185">
        <v>35778</v>
      </c>
      <c r="CB66" s="185"/>
      <c r="CC66" s="185"/>
      <c r="CD66" s="248" t="s">
        <v>221</v>
      </c>
      <c r="CE66" s="195">
        <f t="shared" si="0"/>
        <v>2110169</v>
      </c>
      <c r="CF66" s="251"/>
    </row>
    <row r="67" spans="1:84" ht="12.65" customHeight="1" x14ac:dyDescent="0.3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58619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397</v>
      </c>
      <c r="K67" s="195">
        <f t="shared" si="3"/>
        <v>0</v>
      </c>
      <c r="L67" s="195">
        <f t="shared" si="3"/>
        <v>942</v>
      </c>
      <c r="M67" s="195">
        <f t="shared" si="3"/>
        <v>0</v>
      </c>
      <c r="N67" s="195">
        <f t="shared" si="3"/>
        <v>0</v>
      </c>
      <c r="O67" s="195">
        <f t="shared" si="3"/>
        <v>45748</v>
      </c>
      <c r="P67" s="195">
        <f t="shared" si="3"/>
        <v>316369</v>
      </c>
      <c r="Q67" s="195">
        <f t="shared" si="3"/>
        <v>8040</v>
      </c>
      <c r="R67" s="195">
        <f t="shared" si="3"/>
        <v>0</v>
      </c>
      <c r="S67" s="195">
        <f t="shared" si="3"/>
        <v>5304</v>
      </c>
      <c r="T67" s="195">
        <f t="shared" si="3"/>
        <v>0</v>
      </c>
      <c r="U67" s="195">
        <f t="shared" si="3"/>
        <v>25869</v>
      </c>
      <c r="V67" s="195">
        <f t="shared" si="3"/>
        <v>366</v>
      </c>
      <c r="W67" s="195">
        <f t="shared" si="3"/>
        <v>0</v>
      </c>
      <c r="X67" s="195">
        <f t="shared" si="3"/>
        <v>0</v>
      </c>
      <c r="Y67" s="195">
        <f t="shared" si="3"/>
        <v>373052</v>
      </c>
      <c r="Z67" s="195">
        <f t="shared" si="3"/>
        <v>0</v>
      </c>
      <c r="AA67" s="195">
        <f t="shared" si="3"/>
        <v>0</v>
      </c>
      <c r="AB67" s="195">
        <f t="shared" si="3"/>
        <v>1643</v>
      </c>
      <c r="AC67" s="195">
        <f t="shared" si="3"/>
        <v>12680</v>
      </c>
      <c r="AD67" s="195">
        <f t="shared" si="3"/>
        <v>0</v>
      </c>
      <c r="AE67" s="195">
        <f t="shared" si="3"/>
        <v>6573</v>
      </c>
      <c r="AF67" s="195">
        <f t="shared" si="3"/>
        <v>0</v>
      </c>
      <c r="AG67" s="195">
        <f t="shared" si="3"/>
        <v>166614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99144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12997</v>
      </c>
      <c r="AZ67" s="195">
        <f>ROUND(AZ51+AZ52,0)</f>
        <v>0</v>
      </c>
      <c r="BA67" s="195">
        <f>ROUND(BA51+BA52,0)</f>
        <v>1414</v>
      </c>
      <c r="BB67" s="195">
        <f t="shared" si="3"/>
        <v>0</v>
      </c>
      <c r="BC67" s="195">
        <f t="shared" si="3"/>
        <v>0</v>
      </c>
      <c r="BD67" s="195">
        <f t="shared" si="3"/>
        <v>959</v>
      </c>
      <c r="BE67" s="195">
        <f t="shared" si="3"/>
        <v>97024</v>
      </c>
      <c r="BF67" s="195">
        <f t="shared" si="3"/>
        <v>1360</v>
      </c>
      <c r="BG67" s="195">
        <f t="shared" si="3"/>
        <v>816</v>
      </c>
      <c r="BH67" s="195">
        <f t="shared" si="3"/>
        <v>21172</v>
      </c>
      <c r="BI67" s="195">
        <f t="shared" si="3"/>
        <v>0</v>
      </c>
      <c r="BJ67" s="195">
        <f t="shared" si="3"/>
        <v>20815</v>
      </c>
      <c r="BK67" s="195">
        <f t="shared" si="3"/>
        <v>4899</v>
      </c>
      <c r="BL67" s="195">
        <f t="shared" si="3"/>
        <v>704</v>
      </c>
      <c r="BM67" s="195">
        <f t="shared" si="3"/>
        <v>0</v>
      </c>
      <c r="BN67" s="195">
        <f t="shared" si="3"/>
        <v>1959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903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4680</v>
      </c>
      <c r="BW67" s="195">
        <f t="shared" si="4"/>
        <v>0</v>
      </c>
      <c r="BX67" s="195">
        <f t="shared" si="4"/>
        <v>0</v>
      </c>
      <c r="BY67" s="195">
        <f t="shared" si="4"/>
        <v>685</v>
      </c>
      <c r="BZ67" s="195">
        <f t="shared" si="4"/>
        <v>0</v>
      </c>
      <c r="CA67" s="195">
        <f t="shared" si="4"/>
        <v>10035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1301782</v>
      </c>
      <c r="CF67" s="251"/>
    </row>
    <row r="68" spans="1:84" ht="12.65" customHeight="1" x14ac:dyDescent="0.35">
      <c r="A68" s="171" t="s">
        <v>240</v>
      </c>
      <c r="B68" s="175"/>
      <c r="C68" s="184"/>
      <c r="D68" s="184"/>
      <c r="E68" s="184">
        <f>66405-1499.4</f>
        <v>64905.599999999999</v>
      </c>
      <c r="F68" s="184"/>
      <c r="G68" s="184"/>
      <c r="H68" s="184"/>
      <c r="I68" s="184"/>
      <c r="J68" s="184"/>
      <c r="K68" s="185"/>
      <c r="L68" s="185">
        <v>1499.4</v>
      </c>
      <c r="M68" s="184"/>
      <c r="N68" s="184"/>
      <c r="O68" s="184">
        <v>7427</v>
      </c>
      <c r="P68" s="185">
        <v>5387</v>
      </c>
      <c r="Q68" s="185">
        <v>31037</v>
      </c>
      <c r="R68" s="185">
        <v>12481</v>
      </c>
      <c r="S68" s="185"/>
      <c r="T68" s="185"/>
      <c r="U68" s="185">
        <v>60434</v>
      </c>
      <c r="V68" s="185"/>
      <c r="W68" s="185"/>
      <c r="X68" s="185"/>
      <c r="Y68" s="185">
        <v>82838</v>
      </c>
      <c r="Z68" s="185"/>
      <c r="AA68" s="185"/>
      <c r="AB68" s="185">
        <v>4577</v>
      </c>
      <c r="AC68" s="185">
        <v>21060</v>
      </c>
      <c r="AD68" s="185"/>
      <c r="AE68" s="185">
        <v>1352</v>
      </c>
      <c r="AF68" s="185"/>
      <c r="AG68" s="185">
        <v>13518</v>
      </c>
      <c r="AH68" s="185"/>
      <c r="AI68" s="185"/>
      <c r="AJ68" s="185"/>
      <c r="AK68" s="185"/>
      <c r="AL68" s="185"/>
      <c r="AM68" s="185"/>
      <c r="AN68" s="185"/>
      <c r="AO68" s="185"/>
      <c r="AP68" s="185">
        <v>13326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714</v>
      </c>
      <c r="BF68" s="185"/>
      <c r="BG68" s="185">
        <v>2771</v>
      </c>
      <c r="BH68" s="185">
        <v>27000</v>
      </c>
      <c r="BI68" s="185"/>
      <c r="BJ68" s="185">
        <v>8501</v>
      </c>
      <c r="BK68" s="185">
        <v>14992</v>
      </c>
      <c r="BL68" s="185">
        <v>1485</v>
      </c>
      <c r="BM68" s="185"/>
      <c r="BN68" s="185">
        <v>7414</v>
      </c>
      <c r="BO68" s="185"/>
      <c r="BP68" s="185"/>
      <c r="BQ68" s="185"/>
      <c r="BR68" s="185"/>
      <c r="BS68" s="185"/>
      <c r="BT68" s="185"/>
      <c r="BU68" s="185"/>
      <c r="BV68" s="185">
        <v>1740</v>
      </c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384459</v>
      </c>
      <c r="CF68" s="251"/>
    </row>
    <row r="69" spans="1:84" ht="12.65" customHeight="1" x14ac:dyDescent="0.35">
      <c r="A69" s="171" t="s">
        <v>241</v>
      </c>
      <c r="B69" s="175"/>
      <c r="C69" s="184"/>
      <c r="D69" s="184"/>
      <c r="E69" s="185">
        <f>2851-64.38</f>
        <v>2786.62</v>
      </c>
      <c r="F69" s="185"/>
      <c r="G69" s="184"/>
      <c r="H69" s="184"/>
      <c r="I69" s="185"/>
      <c r="J69" s="185"/>
      <c r="K69" s="185"/>
      <c r="L69" s="185">
        <v>64.38</v>
      </c>
      <c r="M69" s="184"/>
      <c r="N69" s="184"/>
      <c r="O69" s="184">
        <v>2460</v>
      </c>
      <c r="P69" s="185"/>
      <c r="Q69" s="185">
        <v>971</v>
      </c>
      <c r="R69" s="224">
        <v>120</v>
      </c>
      <c r="S69" s="185"/>
      <c r="T69" s="184"/>
      <c r="U69" s="185">
        <f>1502+195</f>
        <v>1697</v>
      </c>
      <c r="V69" s="185"/>
      <c r="W69" s="184"/>
      <c r="X69" s="185"/>
      <c r="Y69" s="185">
        <v>10792</v>
      </c>
      <c r="Z69" s="185"/>
      <c r="AA69" s="185"/>
      <c r="AB69" s="185">
        <v>545</v>
      </c>
      <c r="AC69" s="185">
        <v>913</v>
      </c>
      <c r="AD69" s="185"/>
      <c r="AE69" s="185">
        <v>8012</v>
      </c>
      <c r="AF69" s="185"/>
      <c r="AG69" s="185">
        <v>5607</v>
      </c>
      <c r="AH69" s="185"/>
      <c r="AI69" s="185"/>
      <c r="AJ69" s="185"/>
      <c r="AK69" s="185"/>
      <c r="AL69" s="185"/>
      <c r="AM69" s="185"/>
      <c r="AN69" s="185"/>
      <c r="AO69" s="184"/>
      <c r="AP69" s="185">
        <v>54719</v>
      </c>
      <c r="AQ69" s="184"/>
      <c r="AR69" s="184"/>
      <c r="AS69" s="184"/>
      <c r="AT69" s="184"/>
      <c r="AU69" s="185"/>
      <c r="AV69" s="185"/>
      <c r="AW69" s="185"/>
      <c r="AX69" s="185"/>
      <c r="AY69" s="185">
        <v>1177</v>
      </c>
      <c r="AZ69" s="185"/>
      <c r="BA69" s="185"/>
      <c r="BB69" s="185"/>
      <c r="BC69" s="185"/>
      <c r="BD69" s="185">
        <v>2427</v>
      </c>
      <c r="BE69" s="185">
        <v>2399</v>
      </c>
      <c r="BF69" s="185">
        <v>2742</v>
      </c>
      <c r="BG69" s="185"/>
      <c r="BH69" s="224">
        <v>415</v>
      </c>
      <c r="BI69" s="185"/>
      <c r="BJ69" s="185">
        <v>6630</v>
      </c>
      <c r="BK69" s="185">
        <v>5875</v>
      </c>
      <c r="BL69" s="185">
        <v>1</v>
      </c>
      <c r="BM69" s="185"/>
      <c r="BN69" s="185">
        <v>75759</v>
      </c>
      <c r="BO69" s="185">
        <v>1732</v>
      </c>
      <c r="BP69" s="185"/>
      <c r="BQ69" s="185"/>
      <c r="BR69" s="185">
        <v>41892</v>
      </c>
      <c r="BS69" s="185"/>
      <c r="BT69" s="185"/>
      <c r="BU69" s="185"/>
      <c r="BV69" s="185">
        <v>1628</v>
      </c>
      <c r="BW69" s="185"/>
      <c r="BX69" s="185">
        <v>71</v>
      </c>
      <c r="BY69" s="185">
        <v>4137</v>
      </c>
      <c r="BZ69" s="185"/>
      <c r="CA69" s="185">
        <v>802</v>
      </c>
      <c r="CB69" s="185"/>
      <c r="CC69" s="185">
        <v>4268</v>
      </c>
      <c r="CD69" s="188">
        <f>458355.27+312018.42+7254.2+164476.08</f>
        <v>942103.96999999986</v>
      </c>
      <c r="CE69" s="195">
        <f t="shared" si="0"/>
        <v>1182745.9699999997</v>
      </c>
      <c r="CF69" s="251"/>
    </row>
    <row r="70" spans="1:84" ht="12.65" customHeight="1" x14ac:dyDescent="0.3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2421.6</v>
      </c>
      <c r="T70" s="184"/>
      <c r="U70" s="185"/>
      <c r="V70" s="184"/>
      <c r="W70" s="184"/>
      <c r="X70" s="185"/>
      <c r="Y70" s="185"/>
      <c r="Z70" s="185"/>
      <c r="AA70" s="185"/>
      <c r="AB70" s="185">
        <v>16567.34</v>
      </c>
      <c r="AC70" s="185"/>
      <c r="AD70" s="185"/>
      <c r="AE70" s="185">
        <v>9667.9500000000007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v>39053</v>
      </c>
      <c r="AQ70" s="185"/>
      <c r="AR70" s="185"/>
      <c r="AS70" s="185"/>
      <c r="AT70" s="185"/>
      <c r="AU70" s="185"/>
      <c r="AV70" s="185"/>
      <c r="AW70" s="185"/>
      <c r="AX70" s="185"/>
      <c r="AY70" s="185">
        <v>108712.83</v>
      </c>
      <c r="AZ70" s="185"/>
      <c r="BA70" s="185"/>
      <c r="BB70" s="185"/>
      <c r="BC70" s="185"/>
      <c r="BD70" s="185"/>
      <c r="BE70" s="185"/>
      <c r="BF70" s="185"/>
      <c r="BG70" s="185">
        <v>1177.8</v>
      </c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16948.599999999999</v>
      </c>
      <c r="BW70" s="185"/>
      <c r="BX70" s="185"/>
      <c r="BY70" s="185"/>
      <c r="BZ70" s="185"/>
      <c r="CA70" s="185">
        <v>2150</v>
      </c>
      <c r="CB70" s="185"/>
      <c r="CC70" s="185"/>
      <c r="CD70" s="188">
        <v>265543</v>
      </c>
      <c r="CE70" s="195">
        <f t="shared" si="0"/>
        <v>462242.12</v>
      </c>
      <c r="CF70" s="251"/>
    </row>
    <row r="71" spans="1:84" ht="12.65" customHeight="1" x14ac:dyDescent="0.3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3378392.2500000005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397</v>
      </c>
      <c r="K71" s="195">
        <f t="shared" si="5"/>
        <v>0</v>
      </c>
      <c r="L71" s="195">
        <f t="shared" si="5"/>
        <v>77636.75</v>
      </c>
      <c r="M71" s="195">
        <f t="shared" si="5"/>
        <v>0</v>
      </c>
      <c r="N71" s="195">
        <f t="shared" si="5"/>
        <v>0</v>
      </c>
      <c r="O71" s="195">
        <f t="shared" si="5"/>
        <v>1298693</v>
      </c>
      <c r="P71" s="195">
        <f t="shared" si="5"/>
        <v>1512109</v>
      </c>
      <c r="Q71" s="195">
        <f t="shared" si="5"/>
        <v>608889</v>
      </c>
      <c r="R71" s="195">
        <f t="shared" si="5"/>
        <v>834553</v>
      </c>
      <c r="S71" s="195">
        <f t="shared" si="5"/>
        <v>2247146.4</v>
      </c>
      <c r="T71" s="195">
        <f t="shared" si="5"/>
        <v>0</v>
      </c>
      <c r="U71" s="195">
        <f t="shared" si="5"/>
        <v>1398384</v>
      </c>
      <c r="V71" s="195">
        <f t="shared" si="5"/>
        <v>1296</v>
      </c>
      <c r="W71" s="195">
        <f t="shared" si="5"/>
        <v>0</v>
      </c>
      <c r="X71" s="195">
        <f t="shared" si="5"/>
        <v>0</v>
      </c>
      <c r="Y71" s="195">
        <f t="shared" si="5"/>
        <v>3026966</v>
      </c>
      <c r="Z71" s="195">
        <f t="shared" si="5"/>
        <v>0</v>
      </c>
      <c r="AA71" s="195">
        <f t="shared" si="5"/>
        <v>0</v>
      </c>
      <c r="AB71" s="195">
        <f t="shared" si="5"/>
        <v>783971.66</v>
      </c>
      <c r="AC71" s="195">
        <f t="shared" si="5"/>
        <v>350796</v>
      </c>
      <c r="AD71" s="195">
        <f t="shared" si="5"/>
        <v>0</v>
      </c>
      <c r="AE71" s="195">
        <f t="shared" si="5"/>
        <v>610603.05000000005</v>
      </c>
      <c r="AF71" s="195">
        <f t="shared" si="5"/>
        <v>0</v>
      </c>
      <c r="AG71" s="195">
        <f t="shared" si="5"/>
        <v>3926256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5276360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378086.17</v>
      </c>
      <c r="AZ71" s="195">
        <f t="shared" si="6"/>
        <v>0</v>
      </c>
      <c r="BA71" s="195">
        <f t="shared" si="6"/>
        <v>133852</v>
      </c>
      <c r="BB71" s="195">
        <f t="shared" si="6"/>
        <v>0</v>
      </c>
      <c r="BC71" s="195">
        <f t="shared" si="6"/>
        <v>0</v>
      </c>
      <c r="BD71" s="195">
        <f t="shared" si="6"/>
        <v>128093</v>
      </c>
      <c r="BE71" s="195">
        <f t="shared" si="6"/>
        <v>795394</v>
      </c>
      <c r="BF71" s="195">
        <f t="shared" si="6"/>
        <v>476974</v>
      </c>
      <c r="BG71" s="195">
        <f t="shared" si="6"/>
        <v>134078.20000000001</v>
      </c>
      <c r="BH71" s="195">
        <f t="shared" si="6"/>
        <v>556663</v>
      </c>
      <c r="BI71" s="195">
        <f t="shared" si="6"/>
        <v>0</v>
      </c>
      <c r="BJ71" s="195">
        <f t="shared" si="6"/>
        <v>603507</v>
      </c>
      <c r="BK71" s="195">
        <f t="shared" si="6"/>
        <v>845453</v>
      </c>
      <c r="BL71" s="195">
        <f t="shared" si="6"/>
        <v>307322</v>
      </c>
      <c r="BM71" s="195">
        <f t="shared" si="6"/>
        <v>0</v>
      </c>
      <c r="BN71" s="195">
        <f t="shared" si="6"/>
        <v>759900</v>
      </c>
      <c r="BO71" s="195">
        <f t="shared" si="6"/>
        <v>42479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266260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583955.4</v>
      </c>
      <c r="BW71" s="195">
        <f t="shared" si="7"/>
        <v>0</v>
      </c>
      <c r="BX71" s="195">
        <f t="shared" si="7"/>
        <v>94281</v>
      </c>
      <c r="BY71" s="195">
        <f t="shared" si="7"/>
        <v>280286</v>
      </c>
      <c r="BZ71" s="195">
        <f t="shared" si="7"/>
        <v>0</v>
      </c>
      <c r="CA71" s="195">
        <f t="shared" si="7"/>
        <v>71535</v>
      </c>
      <c r="CB71" s="195">
        <f t="shared" si="7"/>
        <v>0</v>
      </c>
      <c r="CC71" s="195">
        <f t="shared" si="7"/>
        <v>30696</v>
      </c>
      <c r="CD71" s="244">
        <f>CD69-CD70</f>
        <v>676560.96999999986</v>
      </c>
      <c r="CE71" s="195">
        <f>SUM(CE61:CE69)-CE70</f>
        <v>32497824.849999998</v>
      </c>
      <c r="CF71" s="251"/>
    </row>
    <row r="72" spans="1:84" ht="12.65" customHeight="1" x14ac:dyDescent="0.3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1039314</v>
      </c>
      <c r="CF72" s="251"/>
    </row>
    <row r="73" spans="1:84" ht="12.65" customHeight="1" x14ac:dyDescent="0.35">
      <c r="A73" s="171" t="s">
        <v>245</v>
      </c>
      <c r="B73" s="175"/>
      <c r="C73" s="184"/>
      <c r="D73" s="184"/>
      <c r="E73" s="185">
        <f>2686919-62631</f>
        <v>2624288</v>
      </c>
      <c r="F73" s="185"/>
      <c r="G73" s="184"/>
      <c r="H73" s="184"/>
      <c r="I73" s="185"/>
      <c r="J73" s="185">
        <v>416629</v>
      </c>
      <c r="K73" s="185"/>
      <c r="L73" s="185">
        <v>62631</v>
      </c>
      <c r="M73" s="184"/>
      <c r="N73" s="184"/>
      <c r="O73" s="184">
        <v>1145924</v>
      </c>
      <c r="P73" s="185">
        <v>1570778</v>
      </c>
      <c r="Q73" s="185">
        <v>234554</v>
      </c>
      <c r="R73" s="185">
        <v>689764</v>
      </c>
      <c r="S73" s="185">
        <v>2014356</v>
      </c>
      <c r="T73" s="185"/>
      <c r="U73" s="185">
        <f>1030217+157369</f>
        <v>1187586</v>
      </c>
      <c r="V73" s="185">
        <v>33822</v>
      </c>
      <c r="W73" s="185"/>
      <c r="X73" s="185"/>
      <c r="Y73" s="185">
        <v>876252</v>
      </c>
      <c r="Z73" s="185"/>
      <c r="AA73" s="185"/>
      <c r="AB73" s="185">
        <v>761087</v>
      </c>
      <c r="AC73" s="185">
        <v>248636</v>
      </c>
      <c r="AD73" s="185"/>
      <c r="AE73" s="185">
        <v>67705</v>
      </c>
      <c r="AF73" s="185"/>
      <c r="AG73" s="185">
        <v>266775</v>
      </c>
      <c r="AH73" s="185"/>
      <c r="AI73" s="185"/>
      <c r="AJ73" s="185"/>
      <c r="AK73" s="185"/>
      <c r="AL73" s="185"/>
      <c r="AM73" s="185"/>
      <c r="AN73" s="185"/>
      <c r="AO73" s="185"/>
      <c r="AP73" s="185">
        <v>1204063</v>
      </c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13404850</v>
      </c>
      <c r="CF73" s="251"/>
    </row>
    <row r="74" spans="1:84" ht="12.65" customHeight="1" x14ac:dyDescent="0.35">
      <c r="A74" s="171" t="s">
        <v>246</v>
      </c>
      <c r="B74" s="175"/>
      <c r="C74" s="184"/>
      <c r="D74" s="184"/>
      <c r="E74" s="185">
        <f>1594737+11601</f>
        <v>1606338</v>
      </c>
      <c r="F74" s="185"/>
      <c r="G74" s="184"/>
      <c r="H74" s="184"/>
      <c r="I74" s="184"/>
      <c r="J74" s="185">
        <v>3024</v>
      </c>
      <c r="K74" s="185"/>
      <c r="L74" s="185"/>
      <c r="M74" s="184"/>
      <c r="N74" s="184"/>
      <c r="O74" s="184">
        <v>102551</v>
      </c>
      <c r="P74" s="185">
        <v>4093324</v>
      </c>
      <c r="Q74" s="185">
        <v>1396886</v>
      </c>
      <c r="R74" s="185">
        <v>1455285</v>
      </c>
      <c r="S74" s="185">
        <v>4873989</v>
      </c>
      <c r="T74" s="185"/>
      <c r="U74" s="185">
        <f>4877533+302272</f>
        <v>5179805</v>
      </c>
      <c r="V74" s="185">
        <v>217780</v>
      </c>
      <c r="W74" s="185"/>
      <c r="X74" s="185"/>
      <c r="Y74" s="185">
        <v>15769057</v>
      </c>
      <c r="Z74" s="185"/>
      <c r="AA74" s="185"/>
      <c r="AB74" s="185">
        <v>2157860</v>
      </c>
      <c r="AC74" s="185">
        <v>331411</v>
      </c>
      <c r="AD74" s="185"/>
      <c r="AE74" s="185">
        <v>1627826</v>
      </c>
      <c r="AF74" s="185"/>
      <c r="AG74" s="185">
        <v>6570869</v>
      </c>
      <c r="AH74" s="185"/>
      <c r="AI74" s="185"/>
      <c r="AJ74" s="185"/>
      <c r="AK74" s="185"/>
      <c r="AL74" s="185"/>
      <c r="AM74" s="185"/>
      <c r="AN74" s="185"/>
      <c r="AO74" s="185"/>
      <c r="AP74" s="185">
        <v>6835495</v>
      </c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52221500</v>
      </c>
      <c r="CF74" s="251"/>
    </row>
    <row r="75" spans="1:84" ht="12.65" customHeight="1" x14ac:dyDescent="0.3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4230626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419653</v>
      </c>
      <c r="K75" s="195">
        <f t="shared" si="9"/>
        <v>0</v>
      </c>
      <c r="L75" s="195">
        <f t="shared" si="9"/>
        <v>62631</v>
      </c>
      <c r="M75" s="195">
        <f t="shared" si="9"/>
        <v>0</v>
      </c>
      <c r="N75" s="195">
        <f t="shared" si="9"/>
        <v>0</v>
      </c>
      <c r="O75" s="195">
        <f t="shared" si="9"/>
        <v>1248475</v>
      </c>
      <c r="P75" s="195">
        <f t="shared" si="9"/>
        <v>5664102</v>
      </c>
      <c r="Q75" s="195">
        <f t="shared" si="9"/>
        <v>1631440</v>
      </c>
      <c r="R75" s="195">
        <f t="shared" si="9"/>
        <v>2145049</v>
      </c>
      <c r="S75" s="195">
        <f t="shared" si="9"/>
        <v>6888345</v>
      </c>
      <c r="T75" s="195">
        <f t="shared" si="9"/>
        <v>0</v>
      </c>
      <c r="U75" s="195">
        <f t="shared" si="9"/>
        <v>6367391</v>
      </c>
      <c r="V75" s="195">
        <f t="shared" si="9"/>
        <v>251602</v>
      </c>
      <c r="W75" s="195">
        <f t="shared" si="9"/>
        <v>0</v>
      </c>
      <c r="X75" s="195">
        <f t="shared" si="9"/>
        <v>0</v>
      </c>
      <c r="Y75" s="195">
        <f t="shared" si="9"/>
        <v>16645309</v>
      </c>
      <c r="Z75" s="195">
        <f t="shared" si="9"/>
        <v>0</v>
      </c>
      <c r="AA75" s="195">
        <f t="shared" si="9"/>
        <v>0</v>
      </c>
      <c r="AB75" s="195">
        <f t="shared" si="9"/>
        <v>2918947</v>
      </c>
      <c r="AC75" s="195">
        <f t="shared" si="9"/>
        <v>580047</v>
      </c>
      <c r="AD75" s="195">
        <f t="shared" si="9"/>
        <v>0</v>
      </c>
      <c r="AE75" s="195">
        <f t="shared" si="9"/>
        <v>1695531</v>
      </c>
      <c r="AF75" s="195">
        <f t="shared" si="9"/>
        <v>0</v>
      </c>
      <c r="AG75" s="195">
        <f t="shared" si="9"/>
        <v>6837644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8039558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65626350</v>
      </c>
      <c r="CF75" s="251"/>
    </row>
    <row r="76" spans="1:84" ht="12.65" customHeight="1" x14ac:dyDescent="0.35">
      <c r="A76" s="171" t="s">
        <v>248</v>
      </c>
      <c r="B76" s="175"/>
      <c r="C76" s="184"/>
      <c r="D76" s="184"/>
      <c r="E76" s="185">
        <f>5137+1058+188</f>
        <v>6383</v>
      </c>
      <c r="F76" s="185"/>
      <c r="G76" s="184"/>
      <c r="H76" s="184"/>
      <c r="I76" s="185"/>
      <c r="J76" s="185">
        <v>142</v>
      </c>
      <c r="K76" s="185"/>
      <c r="L76" s="185"/>
      <c r="M76" s="185"/>
      <c r="N76" s="185"/>
      <c r="O76" s="185">
        <v>1533</v>
      </c>
      <c r="P76" s="185">
        <v>4085</v>
      </c>
      <c r="Q76" s="185">
        <v>1211</v>
      </c>
      <c r="R76" s="185"/>
      <c r="S76" s="185">
        <v>1628</v>
      </c>
      <c r="T76" s="185"/>
      <c r="U76" s="185">
        <v>1213</v>
      </c>
      <c r="V76" s="185"/>
      <c r="W76" s="185"/>
      <c r="X76" s="185"/>
      <c r="Y76" s="185">
        <v>5596</v>
      </c>
      <c r="Z76" s="185"/>
      <c r="AA76" s="185"/>
      <c r="AB76" s="185">
        <v>588</v>
      </c>
      <c r="AC76" s="185">
        <v>394</v>
      </c>
      <c r="AD76" s="185"/>
      <c r="AE76" s="185">
        <v>2332</v>
      </c>
      <c r="AF76" s="185"/>
      <c r="AG76" s="185">
        <v>3601</v>
      </c>
      <c r="AH76" s="185"/>
      <c r="AI76" s="185"/>
      <c r="AJ76" s="185"/>
      <c r="AK76" s="185"/>
      <c r="AL76" s="185"/>
      <c r="AM76" s="185"/>
      <c r="AN76" s="185"/>
      <c r="AO76" s="185"/>
      <c r="AP76" s="185">
        <v>15629</v>
      </c>
      <c r="AQ76" s="185"/>
      <c r="AR76" s="185"/>
      <c r="AS76" s="185"/>
      <c r="AT76" s="185"/>
      <c r="AU76" s="185"/>
      <c r="AV76" s="185"/>
      <c r="AW76" s="185"/>
      <c r="AX76" s="185"/>
      <c r="AY76" s="185">
        <f>1849+305</f>
        <v>2154</v>
      </c>
      <c r="AZ76" s="185"/>
      <c r="BA76" s="185">
        <v>506</v>
      </c>
      <c r="BB76" s="185"/>
      <c r="BC76" s="185"/>
      <c r="BD76" s="185">
        <v>343</v>
      </c>
      <c r="BE76" s="185">
        <f>1822+8954+1689+13935</f>
        <v>26400</v>
      </c>
      <c r="BF76" s="185">
        <f>156+194</f>
        <v>350</v>
      </c>
      <c r="BG76" s="185">
        <v>292</v>
      </c>
      <c r="BH76" s="185">
        <f>436+216</f>
        <v>652</v>
      </c>
      <c r="BI76" s="185"/>
      <c r="BJ76" s="185">
        <f>138+477</f>
        <v>615</v>
      </c>
      <c r="BK76" s="185">
        <f>82+1671</f>
        <v>1753</v>
      </c>
      <c r="BL76" s="185">
        <v>252</v>
      </c>
      <c r="BM76" s="185"/>
      <c r="BN76" s="185">
        <f>701</f>
        <v>701</v>
      </c>
      <c r="BO76" s="185"/>
      <c r="BP76" s="185"/>
      <c r="BQ76" s="185"/>
      <c r="BR76" s="185">
        <v>323</v>
      </c>
      <c r="BS76" s="185"/>
      <c r="BT76" s="185"/>
      <c r="BU76" s="185"/>
      <c r="BV76" s="185">
        <v>1508</v>
      </c>
      <c r="BW76" s="185"/>
      <c r="BX76" s="185"/>
      <c r="BY76" s="185">
        <v>245</v>
      </c>
      <c r="BZ76" s="185"/>
      <c r="CA76" s="185">
        <f>31+2119</f>
        <v>2150</v>
      </c>
      <c r="CB76" s="185"/>
      <c r="CC76" s="185"/>
      <c r="CD76" s="248" t="s">
        <v>221</v>
      </c>
      <c r="CE76" s="195">
        <f t="shared" si="8"/>
        <v>82579</v>
      </c>
      <c r="CF76" s="195">
        <f>BE59-CE76</f>
        <v>0</v>
      </c>
    </row>
    <row r="77" spans="1:84" ht="12.65" customHeight="1" x14ac:dyDescent="0.35">
      <c r="A77" s="171" t="s">
        <v>249</v>
      </c>
      <c r="B77" s="175"/>
      <c r="C77" s="184"/>
      <c r="D77" s="184"/>
      <c r="E77" s="184">
        <v>6175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2058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8233</v>
      </c>
      <c r="CF77" s="195">
        <f>AY59-CE77</f>
        <v>0</v>
      </c>
    </row>
    <row r="78" spans="1:84" ht="12.65" customHeight="1" x14ac:dyDescent="0.35">
      <c r="A78" s="171" t="s">
        <v>250</v>
      </c>
      <c r="B78" s="175"/>
      <c r="C78" s="184"/>
      <c r="D78" s="184"/>
      <c r="E78" s="184">
        <f>4925.94+121.21</f>
        <v>5047.1499999999996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742.7</v>
      </c>
      <c r="P78" s="184">
        <v>1292.8900000000001</v>
      </c>
      <c r="Q78" s="184">
        <v>966.1</v>
      </c>
      <c r="R78" s="184"/>
      <c r="S78" s="184">
        <v>181.81</v>
      </c>
      <c r="T78" s="184"/>
      <c r="U78" s="184">
        <v>564.45000000000005</v>
      </c>
      <c r="V78" s="184"/>
      <c r="W78" s="184"/>
      <c r="X78" s="184"/>
      <c r="Y78" s="184">
        <v>1023.52</v>
      </c>
      <c r="Z78" s="184"/>
      <c r="AA78" s="184"/>
      <c r="AB78" s="184">
        <v>143.79</v>
      </c>
      <c r="AC78" s="184">
        <v>111.7</v>
      </c>
      <c r="AD78" s="184"/>
      <c r="AE78" s="184">
        <v>323.22000000000003</v>
      </c>
      <c r="AF78" s="184"/>
      <c r="AG78" s="184">
        <f>2564.38+1315.46</f>
        <v>3879.84</v>
      </c>
      <c r="AH78" s="184"/>
      <c r="AI78" s="184"/>
      <c r="AJ78" s="184"/>
      <c r="AK78" s="184"/>
      <c r="AL78" s="184"/>
      <c r="AM78" s="184"/>
      <c r="AN78" s="184"/>
      <c r="AO78" s="184"/>
      <c r="AP78" s="184">
        <v>1679.5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323.22000000000003</v>
      </c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16279.890000000001</v>
      </c>
      <c r="CF78" s="195"/>
    </row>
    <row r="79" spans="1:84" ht="12.65" customHeight="1" x14ac:dyDescent="0.35">
      <c r="A79" s="171" t="s">
        <v>251</v>
      </c>
      <c r="B79" s="175"/>
      <c r="C79" s="225"/>
      <c r="D79" s="225"/>
      <c r="E79" s="184">
        <v>54654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5607</v>
      </c>
      <c r="P79" s="184">
        <v>30425</v>
      </c>
      <c r="Q79" s="184"/>
      <c r="R79" s="184"/>
      <c r="S79" s="184"/>
      <c r="T79" s="184"/>
      <c r="U79" s="184"/>
      <c r="V79" s="184"/>
      <c r="W79" s="184"/>
      <c r="X79" s="184"/>
      <c r="Y79" s="184">
        <v>11687</v>
      </c>
      <c r="Z79" s="184"/>
      <c r="AA79" s="184"/>
      <c r="AB79" s="184"/>
      <c r="AC79" s="184"/>
      <c r="AD79" s="184"/>
      <c r="AE79" s="184"/>
      <c r="AF79" s="184"/>
      <c r="AG79" s="184">
        <v>14134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116507</v>
      </c>
      <c r="CF79" s="195">
        <f>BA59</f>
        <v>0</v>
      </c>
    </row>
    <row r="80" spans="1:84" ht="21" customHeight="1" x14ac:dyDescent="0.35">
      <c r="A80" s="171" t="s">
        <v>252</v>
      </c>
      <c r="B80" s="175"/>
      <c r="C80" s="187"/>
      <c r="D80" s="187"/>
      <c r="E80" s="187">
        <v>13.12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4.74</v>
      </c>
      <c r="P80" s="187">
        <v>3.57</v>
      </c>
      <c r="Q80" s="187">
        <v>4.1399999999999997</v>
      </c>
      <c r="R80" s="187"/>
      <c r="S80" s="187"/>
      <c r="T80" s="187"/>
      <c r="U80" s="187"/>
      <c r="V80" s="187"/>
      <c r="W80" s="187"/>
      <c r="X80" s="187"/>
      <c r="Y80" s="187">
        <v>0.27</v>
      </c>
      <c r="Z80" s="187"/>
      <c r="AA80" s="187"/>
      <c r="AB80" s="187"/>
      <c r="AC80" s="187"/>
      <c r="AD80" s="187"/>
      <c r="AE80" s="187"/>
      <c r="AF80" s="187"/>
      <c r="AG80" s="187">
        <v>7.98</v>
      </c>
      <c r="AH80" s="187"/>
      <c r="AI80" s="187"/>
      <c r="AJ80" s="187"/>
      <c r="AK80" s="187"/>
      <c r="AL80" s="187"/>
      <c r="AM80" s="187"/>
      <c r="AN80" s="187"/>
      <c r="AO80" s="187"/>
      <c r="AP80" s="187">
        <v>11.58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45.4</v>
      </c>
      <c r="CF80" s="254"/>
    </row>
    <row r="81" spans="1:5" ht="12.65" customHeight="1" x14ac:dyDescent="0.35">
      <c r="A81" s="208" t="s">
        <v>253</v>
      </c>
      <c r="B81" s="208"/>
      <c r="C81" s="208"/>
      <c r="D81" s="208"/>
      <c r="E81" s="208"/>
    </row>
    <row r="82" spans="1:5" ht="12.65" customHeight="1" x14ac:dyDescent="0.35">
      <c r="A82" s="171" t="s">
        <v>254</v>
      </c>
      <c r="B82" s="172"/>
      <c r="C82" s="281" t="s">
        <v>1265</v>
      </c>
      <c r="D82" s="255"/>
      <c r="E82" s="175"/>
    </row>
    <row r="83" spans="1:5" ht="12.65" customHeight="1" x14ac:dyDescent="0.35">
      <c r="A83" s="173" t="s">
        <v>255</v>
      </c>
      <c r="B83" s="172" t="s">
        <v>256</v>
      </c>
      <c r="C83" s="226" t="s">
        <v>1267</v>
      </c>
      <c r="D83" s="255"/>
      <c r="E83" s="175"/>
    </row>
    <row r="84" spans="1:5" ht="12.65" customHeight="1" x14ac:dyDescent="0.35">
      <c r="A84" s="173" t="s">
        <v>257</v>
      </c>
      <c r="B84" s="172" t="s">
        <v>256</v>
      </c>
      <c r="C84" s="229" t="s">
        <v>1268</v>
      </c>
      <c r="D84" s="205"/>
      <c r="E84" s="204"/>
    </row>
    <row r="85" spans="1:5" ht="12.65" customHeight="1" x14ac:dyDescent="0.35">
      <c r="A85" s="173" t="s">
        <v>1251</v>
      </c>
      <c r="B85" s="172"/>
      <c r="C85" s="270" t="s">
        <v>1269</v>
      </c>
      <c r="D85" s="205"/>
      <c r="E85" s="204"/>
    </row>
    <row r="86" spans="1:5" ht="12.65" customHeight="1" x14ac:dyDescent="0.35">
      <c r="A86" s="173" t="s">
        <v>1252</v>
      </c>
      <c r="B86" s="172" t="s">
        <v>256</v>
      </c>
      <c r="C86" s="230" t="s">
        <v>1270</v>
      </c>
      <c r="D86" s="205"/>
      <c r="E86" s="204"/>
    </row>
    <row r="87" spans="1:5" ht="12.65" customHeight="1" x14ac:dyDescent="0.35">
      <c r="A87" s="173" t="s">
        <v>258</v>
      </c>
      <c r="B87" s="172" t="s">
        <v>256</v>
      </c>
      <c r="C87" s="229" t="s">
        <v>1271</v>
      </c>
      <c r="D87" s="205"/>
      <c r="E87" s="204"/>
    </row>
    <row r="88" spans="1:5" ht="12.65" customHeight="1" x14ac:dyDescent="0.35">
      <c r="A88" s="173" t="s">
        <v>259</v>
      </c>
      <c r="B88" s="172" t="s">
        <v>256</v>
      </c>
      <c r="C88" s="229" t="s">
        <v>1272</v>
      </c>
      <c r="D88" s="205"/>
      <c r="E88" s="204"/>
    </row>
    <row r="89" spans="1:5" ht="12.65" customHeight="1" x14ac:dyDescent="0.35">
      <c r="A89" s="173" t="s">
        <v>260</v>
      </c>
      <c r="B89" s="172" t="s">
        <v>256</v>
      </c>
      <c r="C89" s="229" t="s">
        <v>1273</v>
      </c>
      <c r="D89" s="205"/>
      <c r="E89" s="204"/>
    </row>
    <row r="90" spans="1:5" ht="12.65" customHeight="1" x14ac:dyDescent="0.35">
      <c r="A90" s="173" t="s">
        <v>261</v>
      </c>
      <c r="B90" s="172" t="s">
        <v>256</v>
      </c>
      <c r="C90" s="229" t="s">
        <v>1274</v>
      </c>
      <c r="D90" s="205"/>
      <c r="E90" s="204"/>
    </row>
    <row r="91" spans="1:5" ht="12.65" customHeight="1" x14ac:dyDescent="0.35">
      <c r="A91" s="173" t="s">
        <v>262</v>
      </c>
      <c r="B91" s="172" t="s">
        <v>256</v>
      </c>
      <c r="C91" s="229" t="s">
        <v>1275</v>
      </c>
      <c r="D91" s="205"/>
      <c r="E91" s="204"/>
    </row>
    <row r="92" spans="1:5" ht="12.65" customHeight="1" x14ac:dyDescent="0.35">
      <c r="A92" s="173" t="s">
        <v>263</v>
      </c>
      <c r="B92" s="172" t="s">
        <v>256</v>
      </c>
      <c r="C92" s="269" t="s">
        <v>1276</v>
      </c>
      <c r="D92" s="255"/>
      <c r="E92" s="175"/>
    </row>
    <row r="93" spans="1:5" ht="12.65" customHeight="1" x14ac:dyDescent="0.35">
      <c r="A93" s="173" t="s">
        <v>264</v>
      </c>
      <c r="B93" s="172" t="s">
        <v>256</v>
      </c>
      <c r="C93" s="269" t="s">
        <v>1277</v>
      </c>
      <c r="D93" s="255"/>
      <c r="E93" s="175"/>
    </row>
    <row r="94" spans="1:5" ht="12.65" customHeight="1" x14ac:dyDescent="0.35">
      <c r="A94" s="173"/>
      <c r="B94" s="173"/>
      <c r="C94" s="191"/>
      <c r="D94" s="175"/>
      <c r="E94" s="175"/>
    </row>
    <row r="95" spans="1:5" ht="12.65" customHeight="1" x14ac:dyDescent="0.35">
      <c r="A95" s="208" t="s">
        <v>265</v>
      </c>
      <c r="B95" s="208"/>
      <c r="C95" s="208"/>
      <c r="D95" s="208"/>
      <c r="E95" s="208"/>
    </row>
    <row r="96" spans="1:5" ht="12.65" customHeight="1" x14ac:dyDescent="0.35">
      <c r="A96" s="256" t="s">
        <v>266</v>
      </c>
      <c r="B96" s="256"/>
      <c r="C96" s="256"/>
      <c r="D96" s="256"/>
      <c r="E96" s="256"/>
    </row>
    <row r="97" spans="1:5" ht="12.65" customHeight="1" x14ac:dyDescent="0.35">
      <c r="A97" s="173" t="s">
        <v>267</v>
      </c>
      <c r="B97" s="172" t="s">
        <v>256</v>
      </c>
      <c r="C97" s="189"/>
      <c r="D97" s="175"/>
      <c r="E97" s="175"/>
    </row>
    <row r="98" spans="1:5" ht="12.65" customHeight="1" x14ac:dyDescent="0.35">
      <c r="A98" s="173" t="s">
        <v>259</v>
      </c>
      <c r="B98" s="172" t="s">
        <v>256</v>
      </c>
      <c r="C98" s="189"/>
      <c r="D98" s="175"/>
      <c r="E98" s="175"/>
    </row>
    <row r="99" spans="1:5" ht="12.65" customHeight="1" x14ac:dyDescent="0.3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5" customHeight="1" x14ac:dyDescent="0.35">
      <c r="A100" s="256" t="s">
        <v>269</v>
      </c>
      <c r="B100" s="256"/>
      <c r="C100" s="256"/>
      <c r="D100" s="256"/>
      <c r="E100" s="256"/>
    </row>
    <row r="101" spans="1:5" ht="12.65" customHeight="1" x14ac:dyDescent="0.35">
      <c r="A101" s="173" t="s">
        <v>270</v>
      </c>
      <c r="B101" s="172" t="s">
        <v>256</v>
      </c>
      <c r="C101" s="189"/>
      <c r="D101" s="175"/>
      <c r="E101" s="175"/>
    </row>
    <row r="102" spans="1:5" ht="12.65" customHeight="1" x14ac:dyDescent="0.35">
      <c r="A102" s="173" t="s">
        <v>132</v>
      </c>
      <c r="B102" s="172" t="s">
        <v>256</v>
      </c>
      <c r="C102" s="222"/>
      <c r="D102" s="175"/>
      <c r="E102" s="175"/>
    </row>
    <row r="103" spans="1:5" ht="12.65" customHeight="1" x14ac:dyDescent="0.35">
      <c r="A103" s="256" t="s">
        <v>271</v>
      </c>
      <c r="B103" s="256"/>
      <c r="C103" s="256"/>
      <c r="D103" s="256"/>
      <c r="E103" s="256"/>
    </row>
    <row r="104" spans="1:5" ht="12.65" customHeight="1" x14ac:dyDescent="0.35">
      <c r="A104" s="173" t="s">
        <v>272</v>
      </c>
      <c r="B104" s="172" t="s">
        <v>256</v>
      </c>
      <c r="C104" s="189"/>
      <c r="D104" s="175"/>
      <c r="E104" s="175"/>
    </row>
    <row r="105" spans="1:5" ht="12.65" customHeight="1" x14ac:dyDescent="0.35">
      <c r="A105" s="173" t="s">
        <v>273</v>
      </c>
      <c r="B105" s="172" t="s">
        <v>256</v>
      </c>
      <c r="C105" s="189"/>
      <c r="D105" s="175"/>
      <c r="E105" s="175"/>
    </row>
    <row r="106" spans="1:5" ht="12.65" customHeight="1" x14ac:dyDescent="0.3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35">
      <c r="A107" s="173"/>
      <c r="B107" s="172"/>
      <c r="C107" s="190"/>
      <c r="D107" s="175"/>
      <c r="E107" s="175"/>
    </row>
    <row r="108" spans="1:5" ht="13.5" customHeight="1" x14ac:dyDescent="0.35">
      <c r="A108" s="207" t="s">
        <v>275</v>
      </c>
      <c r="B108" s="208"/>
      <c r="C108" s="208"/>
      <c r="D108" s="208"/>
      <c r="E108" s="208"/>
    </row>
    <row r="109" spans="1:5" ht="13.5" customHeight="1" x14ac:dyDescent="0.35">
      <c r="A109" s="173"/>
      <c r="B109" s="172"/>
      <c r="C109" s="190"/>
      <c r="D109" s="175"/>
      <c r="E109" s="175"/>
    </row>
    <row r="110" spans="1:5" ht="12.65" customHeight="1" x14ac:dyDescent="0.3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5" customHeight="1" x14ac:dyDescent="0.35">
      <c r="A111" s="173" t="s">
        <v>278</v>
      </c>
      <c r="B111" s="172" t="s">
        <v>256</v>
      </c>
      <c r="C111" s="189">
        <v>694</v>
      </c>
      <c r="D111" s="174">
        <v>1725</v>
      </c>
      <c r="E111" s="175"/>
    </row>
    <row r="112" spans="1:5" ht="12.65" customHeight="1" x14ac:dyDescent="0.35">
      <c r="A112" s="173" t="s">
        <v>279</v>
      </c>
      <c r="B112" s="172" t="s">
        <v>256</v>
      </c>
      <c r="C112" s="189">
        <v>1</v>
      </c>
      <c r="D112" s="174">
        <v>49</v>
      </c>
      <c r="E112" s="175"/>
    </row>
    <row r="113" spans="1:5" ht="12.65" customHeight="1" x14ac:dyDescent="0.35">
      <c r="A113" s="173" t="s">
        <v>280</v>
      </c>
      <c r="B113" s="172" t="s">
        <v>256</v>
      </c>
      <c r="C113" s="189"/>
      <c r="D113" s="174"/>
      <c r="E113" s="175"/>
    </row>
    <row r="114" spans="1:5" ht="12.65" customHeight="1" x14ac:dyDescent="0.35">
      <c r="A114" s="173" t="s">
        <v>281</v>
      </c>
      <c r="B114" s="172" t="s">
        <v>256</v>
      </c>
      <c r="C114" s="189">
        <v>216</v>
      </c>
      <c r="D114" s="174">
        <v>387</v>
      </c>
      <c r="E114" s="175"/>
    </row>
    <row r="115" spans="1:5" ht="12.65" customHeight="1" x14ac:dyDescent="0.35">
      <c r="A115" s="171" t="s">
        <v>282</v>
      </c>
      <c r="B115" s="175"/>
      <c r="C115" s="182" t="s">
        <v>167</v>
      </c>
      <c r="D115" s="175"/>
      <c r="E115" s="175"/>
    </row>
    <row r="116" spans="1:5" ht="12.65" customHeight="1" x14ac:dyDescent="0.35">
      <c r="A116" s="173" t="s">
        <v>283</v>
      </c>
      <c r="B116" s="172" t="s">
        <v>256</v>
      </c>
      <c r="C116" s="189"/>
      <c r="D116" s="175"/>
      <c r="E116" s="175"/>
    </row>
    <row r="117" spans="1:5" ht="12.65" customHeight="1" x14ac:dyDescent="0.35">
      <c r="A117" s="173" t="s">
        <v>284</v>
      </c>
      <c r="B117" s="172" t="s">
        <v>256</v>
      </c>
      <c r="C117" s="189"/>
      <c r="D117" s="175"/>
      <c r="E117" s="175"/>
    </row>
    <row r="118" spans="1:5" ht="12.65" customHeight="1" x14ac:dyDescent="0.3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5" customHeight="1" x14ac:dyDescent="0.35">
      <c r="A119" s="173" t="s">
        <v>285</v>
      </c>
      <c r="B119" s="172" t="s">
        <v>256</v>
      </c>
      <c r="C119" s="189"/>
      <c r="D119" s="175"/>
      <c r="E119" s="175"/>
    </row>
    <row r="120" spans="1:5" ht="12.65" customHeight="1" x14ac:dyDescent="0.35">
      <c r="A120" s="173" t="s">
        <v>286</v>
      </c>
      <c r="B120" s="172" t="s">
        <v>256</v>
      </c>
      <c r="C120" s="189"/>
      <c r="D120" s="175"/>
      <c r="E120" s="175"/>
    </row>
    <row r="121" spans="1:5" ht="12.65" customHeight="1" x14ac:dyDescent="0.35">
      <c r="A121" s="173" t="s">
        <v>287</v>
      </c>
      <c r="B121" s="172" t="s">
        <v>256</v>
      </c>
      <c r="C121" s="189"/>
      <c r="D121" s="175"/>
      <c r="E121" s="175"/>
    </row>
    <row r="122" spans="1:5" ht="12.65" customHeight="1" x14ac:dyDescent="0.35">
      <c r="A122" s="173" t="s">
        <v>97</v>
      </c>
      <c r="B122" s="172" t="s">
        <v>256</v>
      </c>
      <c r="C122" s="189"/>
      <c r="D122" s="175"/>
      <c r="E122" s="175"/>
    </row>
    <row r="123" spans="1:5" ht="12.65" customHeight="1" x14ac:dyDescent="0.35">
      <c r="A123" s="173" t="s">
        <v>288</v>
      </c>
      <c r="B123" s="172" t="s">
        <v>256</v>
      </c>
      <c r="C123" s="189"/>
      <c r="D123" s="175"/>
      <c r="E123" s="175"/>
    </row>
    <row r="124" spans="1:5" ht="12.65" customHeight="1" x14ac:dyDescent="0.35">
      <c r="A124" s="173" t="s">
        <v>289</v>
      </c>
      <c r="B124" s="172"/>
      <c r="C124" s="189"/>
      <c r="D124" s="175"/>
      <c r="E124" s="175"/>
    </row>
    <row r="125" spans="1:5" ht="12.65" customHeight="1" x14ac:dyDescent="0.35">
      <c r="A125" s="173" t="s">
        <v>280</v>
      </c>
      <c r="B125" s="172" t="s">
        <v>256</v>
      </c>
      <c r="C125" s="189"/>
      <c r="D125" s="175"/>
      <c r="E125" s="175"/>
    </row>
    <row r="126" spans="1:5" ht="12.65" customHeight="1" x14ac:dyDescent="0.35">
      <c r="A126" s="173" t="s">
        <v>290</v>
      </c>
      <c r="B126" s="172" t="s">
        <v>256</v>
      </c>
      <c r="C126" s="189"/>
      <c r="D126" s="175"/>
      <c r="E126" s="175"/>
    </row>
    <row r="127" spans="1:5" ht="12.65" customHeight="1" x14ac:dyDescent="0.3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5" customHeight="1" x14ac:dyDescent="0.35">
      <c r="A128" s="173" t="s">
        <v>292</v>
      </c>
      <c r="B128" s="172" t="s">
        <v>256</v>
      </c>
      <c r="C128" s="189">
        <v>44</v>
      </c>
      <c r="D128" s="175"/>
      <c r="E128" s="175"/>
    </row>
    <row r="129" spans="1:6" ht="12.65" customHeight="1" x14ac:dyDescent="0.35">
      <c r="A129" s="173" t="s">
        <v>293</v>
      </c>
      <c r="B129" s="172" t="s">
        <v>256</v>
      </c>
      <c r="C129" s="189"/>
      <c r="D129" s="175"/>
      <c r="E129" s="175"/>
    </row>
    <row r="130" spans="1:6" ht="12.65" customHeight="1" x14ac:dyDescent="0.35">
      <c r="A130" s="173"/>
      <c r="B130" s="175"/>
      <c r="C130" s="191"/>
      <c r="D130" s="175"/>
      <c r="E130" s="175"/>
    </row>
    <row r="131" spans="1:6" ht="12.65" customHeight="1" x14ac:dyDescent="0.35">
      <c r="A131" s="173" t="s">
        <v>294</v>
      </c>
      <c r="B131" s="172" t="s">
        <v>256</v>
      </c>
      <c r="C131" s="189">
        <v>62631</v>
      </c>
      <c r="D131" s="175"/>
      <c r="E131" s="175"/>
    </row>
    <row r="132" spans="1:6" ht="12.65" customHeight="1" x14ac:dyDescent="0.35">
      <c r="A132" s="173"/>
      <c r="B132" s="173"/>
      <c r="C132" s="191"/>
      <c r="D132" s="175"/>
      <c r="E132" s="175"/>
    </row>
    <row r="133" spans="1:6" ht="12.65" customHeight="1" x14ac:dyDescent="0.35">
      <c r="A133" s="173"/>
      <c r="B133" s="173"/>
      <c r="C133" s="191"/>
      <c r="D133" s="175"/>
      <c r="E133" s="175"/>
    </row>
    <row r="134" spans="1:6" ht="12.65" customHeight="1" x14ac:dyDescent="0.35">
      <c r="A134" s="173"/>
      <c r="B134" s="173"/>
      <c r="C134" s="191"/>
      <c r="D134" s="175"/>
      <c r="E134" s="175"/>
    </row>
    <row r="135" spans="1:6" ht="18" customHeight="1" x14ac:dyDescent="0.35">
      <c r="A135" s="173"/>
      <c r="B135" s="173"/>
      <c r="C135" s="191"/>
      <c r="D135" s="175"/>
      <c r="E135" s="175"/>
    </row>
    <row r="136" spans="1:6" ht="12.65" customHeight="1" x14ac:dyDescent="0.35">
      <c r="A136" s="208" t="s">
        <v>1240</v>
      </c>
      <c r="B136" s="207"/>
      <c r="C136" s="207"/>
      <c r="D136" s="207"/>
      <c r="E136" s="207"/>
    </row>
    <row r="137" spans="1:6" ht="12.65" customHeight="1" x14ac:dyDescent="0.3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5" customHeight="1" x14ac:dyDescent="0.35">
      <c r="A138" s="173" t="s">
        <v>277</v>
      </c>
      <c r="B138" s="174">
        <v>291</v>
      </c>
      <c r="C138" s="189">
        <v>254</v>
      </c>
      <c r="D138" s="174">
        <v>149</v>
      </c>
      <c r="E138" s="175">
        <f>SUM(B138:D138)</f>
        <v>694</v>
      </c>
    </row>
    <row r="139" spans="1:6" ht="12.65" customHeight="1" x14ac:dyDescent="0.35">
      <c r="A139" s="173" t="s">
        <v>215</v>
      </c>
      <c r="B139" s="174">
        <v>791</v>
      </c>
      <c r="C139" s="189">
        <v>550</v>
      </c>
      <c r="D139" s="174">
        <v>384</v>
      </c>
      <c r="E139" s="175">
        <f>SUM(B139:D139)</f>
        <v>1725</v>
      </c>
    </row>
    <row r="140" spans="1:6" ht="12.65" customHeight="1" x14ac:dyDescent="0.35">
      <c r="A140" s="173" t="s">
        <v>298</v>
      </c>
      <c r="B140" s="174">
        <f>8937+2371</f>
        <v>11308</v>
      </c>
      <c r="C140" s="174">
        <f>1339+5981+1503+162</f>
        <v>8985</v>
      </c>
      <c r="D140" s="174">
        <f>7282+2724</f>
        <v>10006</v>
      </c>
      <c r="E140" s="175">
        <f>SUM(B140:D140)</f>
        <v>30299</v>
      </c>
    </row>
    <row r="141" spans="1:6" ht="12.65" customHeight="1" x14ac:dyDescent="0.35">
      <c r="A141" s="173" t="s">
        <v>245</v>
      </c>
      <c r="B141" s="174">
        <v>5907726</v>
      </c>
      <c r="C141" s="189">
        <v>4512588.54</v>
      </c>
      <c r="D141" s="174">
        <v>3295061.92</v>
      </c>
      <c r="E141" s="175">
        <f>SUM(B141:D141)</f>
        <v>13715376.459999999</v>
      </c>
      <c r="F141" s="199"/>
    </row>
    <row r="142" spans="1:6" ht="12.65" customHeight="1" x14ac:dyDescent="0.35">
      <c r="A142" s="173" t="s">
        <v>246</v>
      </c>
      <c r="B142" s="174">
        <v>19396055.370000001</v>
      </c>
      <c r="C142" s="189">
        <v>15509474.1</v>
      </c>
      <c r="D142" s="174">
        <f>17235086.81-296741+4453</f>
        <v>16942798.809999999</v>
      </c>
      <c r="E142" s="175">
        <f>SUM(B142:D142)</f>
        <v>51848328.280000001</v>
      </c>
      <c r="F142" s="199"/>
    </row>
    <row r="143" spans="1:6" ht="12.65" customHeight="1" x14ac:dyDescent="0.3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5" customHeight="1" x14ac:dyDescent="0.35">
      <c r="A144" s="173" t="s">
        <v>277</v>
      </c>
      <c r="B144" s="174">
        <v>1</v>
      </c>
      <c r="C144" s="189"/>
      <c r="D144" s="174"/>
      <c r="E144" s="175">
        <f>SUM(B144:D144)</f>
        <v>1</v>
      </c>
    </row>
    <row r="145" spans="1:5" ht="12.65" customHeight="1" x14ac:dyDescent="0.35">
      <c r="A145" s="173" t="s">
        <v>215</v>
      </c>
      <c r="B145" s="174">
        <v>49</v>
      </c>
      <c r="C145" s="189"/>
      <c r="D145" s="174"/>
      <c r="E145" s="175">
        <f>SUM(B145:D145)</f>
        <v>49</v>
      </c>
    </row>
    <row r="146" spans="1:5" ht="12.65" customHeight="1" x14ac:dyDescent="0.3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5" customHeight="1" x14ac:dyDescent="0.35">
      <c r="A147" s="173" t="s">
        <v>245</v>
      </c>
      <c r="B147" s="174">
        <v>62631</v>
      </c>
      <c r="C147" s="189"/>
      <c r="D147" s="174"/>
      <c r="E147" s="175">
        <f>SUM(B147:D147)</f>
        <v>62631</v>
      </c>
    </row>
    <row r="148" spans="1:5" ht="12.65" customHeight="1" x14ac:dyDescent="0.3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5" customHeight="1" x14ac:dyDescent="0.3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5" customHeight="1" x14ac:dyDescent="0.3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5" customHeight="1" x14ac:dyDescent="0.3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5" customHeight="1" x14ac:dyDescent="0.3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5" customHeight="1" x14ac:dyDescent="0.3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5" customHeight="1" x14ac:dyDescent="0.3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5" customHeight="1" x14ac:dyDescent="0.35">
      <c r="A155" s="177"/>
      <c r="B155" s="177"/>
      <c r="C155" s="193"/>
      <c r="D155" s="178"/>
      <c r="E155" s="175"/>
    </row>
    <row r="156" spans="1:5" ht="12.65" customHeight="1" x14ac:dyDescent="0.3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5" customHeight="1" x14ac:dyDescent="0.35">
      <c r="A157" s="177" t="s">
        <v>304</v>
      </c>
      <c r="B157" s="174">
        <v>7784106.9900000002</v>
      </c>
      <c r="C157" s="174">
        <v>3663018</v>
      </c>
      <c r="D157" s="175"/>
      <c r="E157" s="175"/>
    </row>
    <row r="158" spans="1:5" ht="12.65" customHeight="1" x14ac:dyDescent="0.35">
      <c r="A158" s="177"/>
      <c r="B158" s="178"/>
      <c r="C158" s="193"/>
      <c r="D158" s="175"/>
      <c r="E158" s="175"/>
    </row>
    <row r="159" spans="1:5" ht="12.65" customHeight="1" x14ac:dyDescent="0.35">
      <c r="A159" s="177"/>
      <c r="B159" s="177"/>
      <c r="C159" s="193"/>
      <c r="D159" s="178"/>
      <c r="E159" s="175"/>
    </row>
    <row r="160" spans="1:5" ht="12.65" customHeight="1" x14ac:dyDescent="0.35">
      <c r="A160" s="177"/>
      <c r="B160" s="177"/>
      <c r="C160" s="193"/>
      <c r="D160" s="178"/>
      <c r="E160" s="175"/>
    </row>
    <row r="161" spans="1:5" ht="12.65" customHeight="1" x14ac:dyDescent="0.35">
      <c r="A161" s="177"/>
      <c r="B161" s="177"/>
      <c r="C161" s="193"/>
      <c r="D161" s="178"/>
      <c r="E161" s="175"/>
    </row>
    <row r="162" spans="1:5" ht="21.75" customHeight="1" x14ac:dyDescent="0.35">
      <c r="A162" s="177"/>
      <c r="B162" s="177"/>
      <c r="C162" s="193"/>
      <c r="D162" s="178"/>
      <c r="E162" s="175"/>
    </row>
    <row r="163" spans="1:5" ht="11.5" customHeight="1" x14ac:dyDescent="0.35">
      <c r="A163" s="207" t="s">
        <v>305</v>
      </c>
      <c r="B163" s="208"/>
      <c r="C163" s="208"/>
      <c r="D163" s="208"/>
      <c r="E163" s="208"/>
    </row>
    <row r="164" spans="1:5" ht="11.5" customHeight="1" x14ac:dyDescent="0.35">
      <c r="A164" s="256" t="s">
        <v>306</v>
      </c>
      <c r="B164" s="256"/>
      <c r="C164" s="256"/>
      <c r="D164" s="256"/>
      <c r="E164" s="256"/>
    </row>
    <row r="165" spans="1:5" ht="11.5" customHeight="1" x14ac:dyDescent="0.35">
      <c r="A165" s="173" t="s">
        <v>307</v>
      </c>
      <c r="B165" s="172" t="s">
        <v>256</v>
      </c>
      <c r="C165" s="189">
        <v>1005798.47</v>
      </c>
      <c r="D165" s="175"/>
      <c r="E165" s="175"/>
    </row>
    <row r="166" spans="1:5" ht="11.5" customHeight="1" x14ac:dyDescent="0.35">
      <c r="A166" s="173" t="s">
        <v>308</v>
      </c>
      <c r="B166" s="172" t="s">
        <v>256</v>
      </c>
      <c r="C166" s="189">
        <v>20568.8</v>
      </c>
      <c r="D166" s="175"/>
      <c r="E166" s="175"/>
    </row>
    <row r="167" spans="1:5" ht="11.5" customHeight="1" x14ac:dyDescent="0.35">
      <c r="A167" s="177" t="s">
        <v>309</v>
      </c>
      <c r="B167" s="172" t="s">
        <v>256</v>
      </c>
      <c r="C167" s="189">
        <v>251850.42</v>
      </c>
      <c r="D167" s="175"/>
      <c r="E167" s="175"/>
    </row>
    <row r="168" spans="1:5" ht="11.5" customHeight="1" x14ac:dyDescent="0.35">
      <c r="A168" s="173" t="s">
        <v>310</v>
      </c>
      <c r="B168" s="172" t="s">
        <v>256</v>
      </c>
      <c r="C168" s="189">
        <v>2255325.38</v>
      </c>
      <c r="D168" s="175"/>
      <c r="E168" s="175"/>
    </row>
    <row r="169" spans="1:5" ht="11.5" customHeight="1" x14ac:dyDescent="0.35">
      <c r="A169" s="173" t="s">
        <v>311</v>
      </c>
      <c r="B169" s="172" t="s">
        <v>256</v>
      </c>
      <c r="C169" s="189">
        <v>37129.379999999997</v>
      </c>
      <c r="D169" s="175"/>
      <c r="E169" s="175"/>
    </row>
    <row r="170" spans="1:5" ht="11.5" customHeight="1" x14ac:dyDescent="0.35">
      <c r="A170" s="173" t="s">
        <v>312</v>
      </c>
      <c r="B170" s="172" t="s">
        <v>256</v>
      </c>
      <c r="C170" s="189">
        <v>168411.41</v>
      </c>
      <c r="D170" s="175"/>
      <c r="E170" s="175"/>
    </row>
    <row r="171" spans="1:5" ht="11.5" customHeight="1" x14ac:dyDescent="0.35">
      <c r="A171" s="173" t="s">
        <v>313</v>
      </c>
      <c r="B171" s="172" t="s">
        <v>256</v>
      </c>
      <c r="C171" s="189">
        <v>395.21</v>
      </c>
      <c r="D171" s="175"/>
      <c r="E171" s="175"/>
    </row>
    <row r="172" spans="1:5" ht="11.5" customHeight="1" x14ac:dyDescent="0.35">
      <c r="A172" s="173" t="s">
        <v>313</v>
      </c>
      <c r="B172" s="172" t="s">
        <v>256</v>
      </c>
      <c r="C172" s="189">
        <v>29713.25</v>
      </c>
      <c r="D172" s="175"/>
      <c r="E172" s="175"/>
    </row>
    <row r="173" spans="1:5" ht="11.5" customHeight="1" x14ac:dyDescent="0.35">
      <c r="A173" s="173" t="s">
        <v>203</v>
      </c>
      <c r="B173" s="175"/>
      <c r="C173" s="191"/>
      <c r="D173" s="175">
        <f>SUM(C165:C172)</f>
        <v>3769192.32</v>
      </c>
      <c r="E173" s="175"/>
    </row>
    <row r="174" spans="1:5" ht="11.5" customHeight="1" x14ac:dyDescent="0.35">
      <c r="A174" s="256" t="s">
        <v>314</v>
      </c>
      <c r="B174" s="256"/>
      <c r="C174" s="256"/>
      <c r="D174" s="256"/>
      <c r="E174" s="256"/>
    </row>
    <row r="175" spans="1:5" ht="11.5" customHeight="1" x14ac:dyDescent="0.35">
      <c r="A175" s="173" t="s">
        <v>315</v>
      </c>
      <c r="B175" s="172" t="s">
        <v>256</v>
      </c>
      <c r="C175" s="189">
        <v>2600</v>
      </c>
      <c r="D175" s="175"/>
      <c r="E175" s="175"/>
    </row>
    <row r="176" spans="1:5" ht="11.5" customHeight="1" x14ac:dyDescent="0.35">
      <c r="A176" s="173" t="s">
        <v>316</v>
      </c>
      <c r="B176" s="172" t="s">
        <v>256</v>
      </c>
      <c r="C176" s="189">
        <v>381859.6</v>
      </c>
      <c r="D176" s="175"/>
      <c r="E176" s="175"/>
    </row>
    <row r="177" spans="1:5" ht="11.5" customHeight="1" x14ac:dyDescent="0.35">
      <c r="A177" s="173" t="s">
        <v>203</v>
      </c>
      <c r="B177" s="175"/>
      <c r="C177" s="191"/>
      <c r="D177" s="175">
        <f>SUM(C175:C176)</f>
        <v>384459.6</v>
      </c>
      <c r="E177" s="175"/>
    </row>
    <row r="178" spans="1:5" ht="11.5" customHeight="1" x14ac:dyDescent="0.35">
      <c r="A178" s="256" t="s">
        <v>317</v>
      </c>
      <c r="B178" s="256"/>
      <c r="C178" s="256"/>
      <c r="D178" s="256"/>
      <c r="E178" s="256"/>
    </row>
    <row r="179" spans="1:5" ht="11.5" customHeight="1" x14ac:dyDescent="0.35">
      <c r="A179" s="173" t="s">
        <v>318</v>
      </c>
      <c r="B179" s="172" t="s">
        <v>256</v>
      </c>
      <c r="C179" s="189">
        <v>394755.33</v>
      </c>
      <c r="D179" s="175"/>
      <c r="E179" s="175"/>
    </row>
    <row r="180" spans="1:5" ht="11.5" customHeight="1" x14ac:dyDescent="0.35">
      <c r="A180" s="173" t="s">
        <v>319</v>
      </c>
      <c r="B180" s="172" t="s">
        <v>256</v>
      </c>
      <c r="C180" s="189">
        <v>63599.94</v>
      </c>
      <c r="D180" s="175"/>
      <c r="E180" s="175"/>
    </row>
    <row r="181" spans="1:5" ht="11.5" customHeight="1" x14ac:dyDescent="0.35">
      <c r="A181" s="173" t="s">
        <v>203</v>
      </c>
      <c r="B181" s="175"/>
      <c r="C181" s="191"/>
      <c r="D181" s="175">
        <f>SUM(C179:C180)</f>
        <v>458355.27</v>
      </c>
      <c r="E181" s="175"/>
    </row>
    <row r="182" spans="1:5" ht="11.5" customHeight="1" x14ac:dyDescent="0.35">
      <c r="A182" s="256" t="s">
        <v>320</v>
      </c>
      <c r="B182" s="256"/>
      <c r="C182" s="256"/>
      <c r="D182" s="256"/>
      <c r="E182" s="256"/>
    </row>
    <row r="183" spans="1:5" ht="11.5" customHeight="1" x14ac:dyDescent="0.35">
      <c r="A183" s="173" t="s">
        <v>321</v>
      </c>
      <c r="B183" s="172" t="s">
        <v>256</v>
      </c>
      <c r="C183" s="189">
        <v>25746</v>
      </c>
      <c r="D183" s="175"/>
      <c r="E183" s="175"/>
    </row>
    <row r="184" spans="1:5" ht="11.5" customHeight="1" x14ac:dyDescent="0.35">
      <c r="A184" s="173" t="s">
        <v>322</v>
      </c>
      <c r="B184" s="172" t="s">
        <v>256</v>
      </c>
      <c r="C184" s="189">
        <v>164476</v>
      </c>
      <c r="D184" s="175"/>
      <c r="E184" s="175"/>
    </row>
    <row r="185" spans="1:5" ht="11.5" customHeight="1" x14ac:dyDescent="0.35">
      <c r="A185" s="173" t="s">
        <v>132</v>
      </c>
      <c r="B185" s="172" t="s">
        <v>256</v>
      </c>
      <c r="C185" s="189"/>
      <c r="D185" s="175"/>
      <c r="E185" s="175"/>
    </row>
    <row r="186" spans="1:5" ht="11.5" customHeight="1" x14ac:dyDescent="0.35">
      <c r="A186" s="173" t="s">
        <v>203</v>
      </c>
      <c r="B186" s="175"/>
      <c r="C186" s="191"/>
      <c r="D186" s="175">
        <f>SUM(C183:C185)</f>
        <v>190222</v>
      </c>
      <c r="E186" s="175"/>
    </row>
    <row r="187" spans="1:5" ht="11.5" customHeight="1" x14ac:dyDescent="0.35">
      <c r="A187" s="256" t="s">
        <v>323</v>
      </c>
      <c r="B187" s="256"/>
      <c r="C187" s="256"/>
      <c r="D187" s="256"/>
      <c r="E187" s="256"/>
    </row>
    <row r="188" spans="1:5" ht="11.5" customHeight="1" x14ac:dyDescent="0.35">
      <c r="A188" s="173" t="s">
        <v>324</v>
      </c>
      <c r="B188" s="172" t="s">
        <v>256</v>
      </c>
      <c r="C188" s="189">
        <v>312018.42</v>
      </c>
      <c r="D188" s="175"/>
      <c r="E188" s="175"/>
    </row>
    <row r="189" spans="1:5" ht="11.5" customHeight="1" x14ac:dyDescent="0.35">
      <c r="A189" s="173" t="s">
        <v>325</v>
      </c>
      <c r="B189" s="172" t="s">
        <v>256</v>
      </c>
      <c r="C189" s="189"/>
      <c r="D189" s="175"/>
      <c r="E189" s="175"/>
    </row>
    <row r="190" spans="1:5" ht="11.5" customHeight="1" x14ac:dyDescent="0.35">
      <c r="A190" s="173" t="s">
        <v>203</v>
      </c>
      <c r="B190" s="175"/>
      <c r="C190" s="191"/>
      <c r="D190" s="175">
        <f>SUM(C188:C189)</f>
        <v>312018.42</v>
      </c>
      <c r="E190" s="175"/>
    </row>
    <row r="191" spans="1:5" ht="18" customHeight="1" x14ac:dyDescent="0.35">
      <c r="A191" s="173"/>
      <c r="B191" s="175"/>
      <c r="C191" s="191"/>
      <c r="D191" s="175"/>
      <c r="E191" s="175"/>
    </row>
    <row r="192" spans="1:5" ht="12.65" customHeight="1" x14ac:dyDescent="0.35">
      <c r="A192" s="208" t="s">
        <v>326</v>
      </c>
      <c r="B192" s="208"/>
      <c r="C192" s="208"/>
      <c r="D192" s="208"/>
      <c r="E192" s="208"/>
    </row>
    <row r="193" spans="1:8" ht="12.65" customHeight="1" x14ac:dyDescent="0.35">
      <c r="A193" s="207" t="s">
        <v>327</v>
      </c>
      <c r="B193" s="208"/>
      <c r="C193" s="208"/>
      <c r="D193" s="208"/>
      <c r="E193" s="208"/>
    </row>
    <row r="194" spans="1:8" ht="12.65" customHeight="1" x14ac:dyDescent="0.3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5" customHeight="1" x14ac:dyDescent="0.35">
      <c r="A195" s="173" t="s">
        <v>332</v>
      </c>
      <c r="B195" s="174">
        <v>146306</v>
      </c>
      <c r="C195" s="189"/>
      <c r="D195" s="174"/>
      <c r="E195" s="175">
        <f t="shared" ref="E195:E203" si="10">SUM(B195:C195)-D195</f>
        <v>146306</v>
      </c>
    </row>
    <row r="196" spans="1:8" ht="12.65" customHeight="1" x14ac:dyDescent="0.35">
      <c r="A196" s="173" t="s">
        <v>333</v>
      </c>
      <c r="B196" s="174">
        <v>1137603</v>
      </c>
      <c r="C196" s="189"/>
      <c r="D196" s="174">
        <v>9587.5400000000009</v>
      </c>
      <c r="E196" s="175">
        <f t="shared" si="10"/>
        <v>1128015.46</v>
      </c>
    </row>
    <row r="197" spans="1:8" ht="12.65" customHeight="1" x14ac:dyDescent="0.35">
      <c r="A197" s="173" t="s">
        <v>334</v>
      </c>
      <c r="B197" s="174">
        <v>7762021</v>
      </c>
      <c r="C197" s="189">
        <v>161598.71</v>
      </c>
      <c r="D197" s="174">
        <v>21690.23</v>
      </c>
      <c r="E197" s="175">
        <f t="shared" si="10"/>
        <v>7901929.4799999995</v>
      </c>
    </row>
    <row r="198" spans="1:8" ht="12.65" customHeight="1" x14ac:dyDescent="0.35">
      <c r="A198" s="173" t="s">
        <v>335</v>
      </c>
      <c r="B198" s="174">
        <v>5553719</v>
      </c>
      <c r="C198" s="189">
        <v>309592.7</v>
      </c>
      <c r="D198" s="174"/>
      <c r="E198" s="175">
        <f t="shared" si="10"/>
        <v>5863311.7000000002</v>
      </c>
    </row>
    <row r="199" spans="1:8" ht="12.65" customHeight="1" x14ac:dyDescent="0.35">
      <c r="A199" s="173" t="s">
        <v>336</v>
      </c>
      <c r="B199" s="174">
        <v>322224</v>
      </c>
      <c r="C199" s="189">
        <v>1859.27</v>
      </c>
      <c r="D199" s="174"/>
      <c r="E199" s="175">
        <f t="shared" si="10"/>
        <v>324083.27</v>
      </c>
    </row>
    <row r="200" spans="1:8" ht="12.65" customHeight="1" x14ac:dyDescent="0.35">
      <c r="A200" s="173" t="s">
        <v>337</v>
      </c>
      <c r="B200" s="174">
        <v>8164031</v>
      </c>
      <c r="C200" s="189">
        <v>111507.66</v>
      </c>
      <c r="D200" s="174">
        <v>64278.28</v>
      </c>
      <c r="E200" s="175">
        <f t="shared" si="10"/>
        <v>8211260.3799999999</v>
      </c>
    </row>
    <row r="201" spans="1:8" ht="12.65" customHeight="1" x14ac:dyDescent="0.3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5" customHeight="1" x14ac:dyDescent="0.3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5" customHeight="1" x14ac:dyDescent="0.35">
      <c r="A203" s="173" t="s">
        <v>340</v>
      </c>
      <c r="B203" s="174">
        <v>20313</v>
      </c>
      <c r="C203" s="189">
        <f>1162485.21-459082</f>
        <v>703403.21</v>
      </c>
      <c r="D203" s="174"/>
      <c r="E203" s="175">
        <f t="shared" si="10"/>
        <v>723716.21</v>
      </c>
    </row>
    <row r="204" spans="1:8" ht="12.65" customHeight="1" x14ac:dyDescent="0.35">
      <c r="A204" s="173" t="s">
        <v>203</v>
      </c>
      <c r="B204" s="175">
        <f>SUM(B195:B203)</f>
        <v>23106217</v>
      </c>
      <c r="C204" s="191">
        <f>SUM(C195:C203)</f>
        <v>1287961.55</v>
      </c>
      <c r="D204" s="175">
        <f>SUM(D195:D203)</f>
        <v>95556.05</v>
      </c>
      <c r="E204" s="175">
        <f>SUM(E195:E203)</f>
        <v>24298622.5</v>
      </c>
    </row>
    <row r="205" spans="1:8" ht="12.65" customHeight="1" x14ac:dyDescent="0.35">
      <c r="A205" s="173"/>
      <c r="B205" s="173"/>
      <c r="C205" s="191"/>
      <c r="D205" s="175"/>
      <c r="E205" s="175"/>
    </row>
    <row r="206" spans="1:8" ht="12.65" customHeight="1" x14ac:dyDescent="0.35">
      <c r="A206" s="207" t="s">
        <v>341</v>
      </c>
      <c r="B206" s="207"/>
      <c r="C206" s="207"/>
      <c r="D206" s="207"/>
      <c r="E206" s="207"/>
    </row>
    <row r="207" spans="1:8" ht="12.65" customHeight="1" x14ac:dyDescent="0.3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5" customHeight="1" x14ac:dyDescent="0.35">
      <c r="A208" s="173" t="s">
        <v>332</v>
      </c>
      <c r="B208" s="178"/>
      <c r="C208" s="193"/>
      <c r="D208" s="178"/>
      <c r="E208" s="175"/>
      <c r="H208" s="258"/>
    </row>
    <row r="209" spans="1:8" ht="12.65" customHeight="1" x14ac:dyDescent="0.35">
      <c r="A209" s="173" t="s">
        <v>333</v>
      </c>
      <c r="B209" s="174">
        <v>731211.96</v>
      </c>
      <c r="C209" s="189">
        <v>76340.83</v>
      </c>
      <c r="D209" s="174">
        <v>9587.5400000000009</v>
      </c>
      <c r="E209" s="175">
        <f t="shared" ref="E209:E216" si="11">SUM(B209:C209)-D209</f>
        <v>797965.24999999988</v>
      </c>
      <c r="H209" s="258"/>
    </row>
    <row r="210" spans="1:8" ht="12.65" customHeight="1" x14ac:dyDescent="0.35">
      <c r="A210" s="173" t="s">
        <v>334</v>
      </c>
      <c r="B210" s="174">
        <v>3982685</v>
      </c>
      <c r="C210" s="189">
        <v>314382.8</v>
      </c>
      <c r="D210" s="174">
        <v>9496.2800000000007</v>
      </c>
      <c r="E210" s="175">
        <f t="shared" si="11"/>
        <v>4287571.5199999996</v>
      </c>
      <c r="H210" s="258"/>
    </row>
    <row r="211" spans="1:8" ht="12.65" customHeight="1" x14ac:dyDescent="0.35">
      <c r="A211" s="173" t="s">
        <v>335</v>
      </c>
      <c r="B211" s="174">
        <v>2322429</v>
      </c>
      <c r="C211" s="189">
        <v>288105.3</v>
      </c>
      <c r="D211" s="174">
        <v>10114.4</v>
      </c>
      <c r="E211" s="175">
        <f t="shared" si="11"/>
        <v>2600419.9</v>
      </c>
      <c r="H211" s="258"/>
    </row>
    <row r="212" spans="1:8" ht="12.65" customHeight="1" x14ac:dyDescent="0.35">
      <c r="A212" s="173" t="s">
        <v>336</v>
      </c>
      <c r="B212" s="174">
        <v>174714</v>
      </c>
      <c r="C212" s="189">
        <v>13951.37</v>
      </c>
      <c r="D212" s="174"/>
      <c r="E212" s="175">
        <f t="shared" si="11"/>
        <v>188665.37</v>
      </c>
      <c r="H212" s="258"/>
    </row>
    <row r="213" spans="1:8" ht="12.65" customHeight="1" x14ac:dyDescent="0.35">
      <c r="A213" s="173" t="s">
        <v>337</v>
      </c>
      <c r="B213" s="174">
        <v>5965441</v>
      </c>
      <c r="C213" s="189">
        <v>609000.88</v>
      </c>
      <c r="D213" s="174">
        <f>60503.32-20243.02</f>
        <v>40260.300000000003</v>
      </c>
      <c r="E213" s="175">
        <f t="shared" si="11"/>
        <v>6534181.5800000001</v>
      </c>
      <c r="H213" s="258"/>
    </row>
    <row r="214" spans="1:8" ht="12.65" customHeight="1" x14ac:dyDescent="0.3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5" customHeight="1" x14ac:dyDescent="0.3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5" customHeight="1" x14ac:dyDescent="0.3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5" customHeight="1" x14ac:dyDescent="0.35">
      <c r="A217" s="173" t="s">
        <v>203</v>
      </c>
      <c r="B217" s="175">
        <f>SUM(B208:B216)</f>
        <v>13176480.960000001</v>
      </c>
      <c r="C217" s="191">
        <f>SUM(C208:C216)</f>
        <v>1301781.18</v>
      </c>
      <c r="D217" s="175">
        <f>SUM(D208:D216)</f>
        <v>69458.52</v>
      </c>
      <c r="E217" s="175">
        <f>SUM(E208:E216)</f>
        <v>14408803.620000001</v>
      </c>
    </row>
    <row r="218" spans="1:8" ht="21.75" customHeight="1" x14ac:dyDescent="0.35">
      <c r="A218" s="173"/>
      <c r="B218" s="175"/>
      <c r="C218" s="191"/>
      <c r="D218" s="175"/>
      <c r="E218" s="175"/>
    </row>
    <row r="219" spans="1:8" ht="12.65" customHeight="1" x14ac:dyDescent="0.35">
      <c r="A219" s="208" t="s">
        <v>342</v>
      </c>
      <c r="B219" s="208"/>
      <c r="C219" s="208"/>
      <c r="D219" s="208"/>
      <c r="E219" s="208"/>
    </row>
    <row r="220" spans="1:8" ht="12.65" customHeight="1" x14ac:dyDescent="0.35">
      <c r="A220" s="208"/>
      <c r="B220" s="297" t="s">
        <v>1255</v>
      </c>
      <c r="C220" s="297"/>
      <c r="D220" s="208"/>
      <c r="E220" s="208"/>
    </row>
    <row r="221" spans="1:8" ht="12.65" customHeight="1" x14ac:dyDescent="0.35">
      <c r="A221" s="271" t="s">
        <v>1255</v>
      </c>
      <c r="B221" s="208"/>
      <c r="C221" s="189">
        <v>712101</v>
      </c>
      <c r="D221" s="172">
        <f>C221</f>
        <v>712101</v>
      </c>
      <c r="E221" s="208"/>
    </row>
    <row r="222" spans="1:8" ht="12.65" customHeight="1" x14ac:dyDescent="0.35">
      <c r="A222" s="256" t="s">
        <v>343</v>
      </c>
      <c r="B222" s="256"/>
      <c r="C222" s="256"/>
      <c r="D222" s="256"/>
      <c r="E222" s="256"/>
    </row>
    <row r="223" spans="1:8" ht="12.65" customHeight="1" x14ac:dyDescent="0.35">
      <c r="A223" s="173" t="s">
        <v>344</v>
      </c>
      <c r="B223" s="172" t="s">
        <v>256</v>
      </c>
      <c r="C223" s="189">
        <v>12533810</v>
      </c>
      <c r="D223" s="175"/>
      <c r="E223" s="175"/>
    </row>
    <row r="224" spans="1:8" ht="12.65" customHeight="1" x14ac:dyDescent="0.35">
      <c r="A224" s="173" t="s">
        <v>345</v>
      </c>
      <c r="B224" s="172" t="s">
        <v>256</v>
      </c>
      <c r="C224" s="189">
        <v>11743888</v>
      </c>
      <c r="D224" s="175"/>
      <c r="E224" s="175"/>
    </row>
    <row r="225" spans="1:5" ht="12.65" customHeight="1" x14ac:dyDescent="0.35">
      <c r="A225" s="173" t="s">
        <v>346</v>
      </c>
      <c r="B225" s="172" t="s">
        <v>256</v>
      </c>
      <c r="C225" s="189">
        <v>1182150</v>
      </c>
      <c r="D225" s="175"/>
      <c r="E225" s="175"/>
    </row>
    <row r="226" spans="1:5" ht="12.65" customHeight="1" x14ac:dyDescent="0.35">
      <c r="A226" s="173" t="s">
        <v>347</v>
      </c>
      <c r="B226" s="172" t="s">
        <v>256</v>
      </c>
      <c r="C226" s="189">
        <v>677598</v>
      </c>
      <c r="D226" s="175"/>
      <c r="E226" s="175"/>
    </row>
    <row r="227" spans="1:5" ht="12.65" customHeight="1" x14ac:dyDescent="0.35">
      <c r="A227" s="173" t="s">
        <v>348</v>
      </c>
      <c r="B227" s="172" t="s">
        <v>256</v>
      </c>
      <c r="C227" s="189">
        <v>6160130</v>
      </c>
      <c r="D227" s="175"/>
      <c r="E227" s="175"/>
    </row>
    <row r="228" spans="1:5" ht="12.65" customHeight="1" x14ac:dyDescent="0.35">
      <c r="A228" s="173" t="s">
        <v>349</v>
      </c>
      <c r="B228" s="172" t="s">
        <v>256</v>
      </c>
      <c r="C228" s="189"/>
      <c r="D228" s="175"/>
      <c r="E228" s="175"/>
    </row>
    <row r="229" spans="1:5" ht="12.65" customHeight="1" x14ac:dyDescent="0.35">
      <c r="A229" s="173" t="s">
        <v>350</v>
      </c>
      <c r="B229" s="175"/>
      <c r="C229" s="191"/>
      <c r="D229" s="175">
        <f>SUM(C223:C228)</f>
        <v>32297576</v>
      </c>
      <c r="E229" s="175"/>
    </row>
    <row r="230" spans="1:5" ht="12.65" customHeight="1" x14ac:dyDescent="0.35">
      <c r="A230" s="256" t="s">
        <v>351</v>
      </c>
      <c r="B230" s="256"/>
      <c r="C230" s="256"/>
      <c r="D230" s="256"/>
      <c r="E230" s="256"/>
    </row>
    <row r="231" spans="1:5" ht="12.65" customHeight="1" x14ac:dyDescent="0.35">
      <c r="A231" s="171" t="s">
        <v>352</v>
      </c>
      <c r="B231" s="172" t="s">
        <v>256</v>
      </c>
      <c r="C231" s="189">
        <v>578</v>
      </c>
      <c r="D231" s="175"/>
      <c r="E231" s="175"/>
    </row>
    <row r="232" spans="1:5" ht="12.65" customHeight="1" x14ac:dyDescent="0.35">
      <c r="A232" s="171"/>
      <c r="B232" s="172"/>
      <c r="C232" s="191"/>
      <c r="D232" s="175"/>
      <c r="E232" s="175"/>
    </row>
    <row r="233" spans="1:5" ht="12.65" customHeight="1" x14ac:dyDescent="0.35">
      <c r="A233" s="171" t="s">
        <v>353</v>
      </c>
      <c r="B233" s="172" t="s">
        <v>256</v>
      </c>
      <c r="C233" s="189">
        <v>209133</v>
      </c>
      <c r="D233" s="175"/>
      <c r="E233" s="175"/>
    </row>
    <row r="234" spans="1:5" ht="12.65" customHeight="1" x14ac:dyDescent="0.35">
      <c r="A234" s="171" t="s">
        <v>354</v>
      </c>
      <c r="B234" s="172" t="s">
        <v>256</v>
      </c>
      <c r="C234" s="189">
        <v>710969</v>
      </c>
      <c r="D234" s="175"/>
      <c r="E234" s="175"/>
    </row>
    <row r="235" spans="1:5" ht="12.65" customHeight="1" x14ac:dyDescent="0.35">
      <c r="A235" s="173"/>
      <c r="B235" s="175"/>
      <c r="C235" s="191"/>
      <c r="D235" s="175"/>
      <c r="E235" s="175"/>
    </row>
    <row r="236" spans="1:5" ht="12.65" customHeight="1" x14ac:dyDescent="0.35">
      <c r="A236" s="171" t="s">
        <v>355</v>
      </c>
      <c r="B236" s="175"/>
      <c r="C236" s="191"/>
      <c r="D236" s="175">
        <f>SUM(C233:C235)</f>
        <v>920102</v>
      </c>
      <c r="E236" s="175"/>
    </row>
    <row r="237" spans="1:5" ht="12.65" customHeight="1" x14ac:dyDescent="0.35">
      <c r="A237" s="256" t="s">
        <v>356</v>
      </c>
      <c r="B237" s="256"/>
      <c r="C237" s="256"/>
      <c r="D237" s="256"/>
      <c r="E237" s="256"/>
    </row>
    <row r="238" spans="1:5" ht="12.65" customHeight="1" x14ac:dyDescent="0.35">
      <c r="A238" s="173" t="s">
        <v>357</v>
      </c>
      <c r="B238" s="172" t="s">
        <v>256</v>
      </c>
      <c r="C238" s="189">
        <v>822951</v>
      </c>
      <c r="D238" s="175"/>
      <c r="E238" s="175"/>
    </row>
    <row r="239" spans="1:5" ht="12.65" customHeight="1" x14ac:dyDescent="0.35">
      <c r="A239" s="173" t="s">
        <v>356</v>
      </c>
      <c r="B239" s="172" t="s">
        <v>256</v>
      </c>
      <c r="C239" s="189">
        <v>8655</v>
      </c>
      <c r="D239" s="175"/>
      <c r="E239" s="175"/>
    </row>
    <row r="240" spans="1:5" ht="12.65" customHeight="1" x14ac:dyDescent="0.35">
      <c r="A240" s="173" t="s">
        <v>358</v>
      </c>
      <c r="B240" s="175"/>
      <c r="C240" s="191"/>
      <c r="D240" s="175">
        <f>SUM(C238:C239)</f>
        <v>831606</v>
      </c>
      <c r="E240" s="175"/>
    </row>
    <row r="241" spans="1:5" ht="12.65" customHeight="1" x14ac:dyDescent="0.35">
      <c r="A241" s="173"/>
      <c r="B241" s="175"/>
      <c r="C241" s="191"/>
      <c r="D241" s="175"/>
      <c r="E241" s="175"/>
    </row>
    <row r="242" spans="1:5" ht="12.65" customHeight="1" x14ac:dyDescent="0.35">
      <c r="A242" s="173" t="s">
        <v>359</v>
      </c>
      <c r="B242" s="175"/>
      <c r="C242" s="191"/>
      <c r="D242" s="175">
        <f>D221+D229+D236+D240</f>
        <v>34761385</v>
      </c>
      <c r="E242" s="175"/>
    </row>
    <row r="243" spans="1:5" ht="12.65" customHeight="1" x14ac:dyDescent="0.35">
      <c r="A243" s="173"/>
      <c r="B243" s="173"/>
      <c r="C243" s="191"/>
      <c r="D243" s="175"/>
      <c r="E243" s="175"/>
    </row>
    <row r="244" spans="1:5" ht="12.65" customHeight="1" x14ac:dyDescent="0.35">
      <c r="A244" s="173"/>
      <c r="B244" s="173"/>
      <c r="C244" s="191"/>
      <c r="D244" s="175"/>
      <c r="E244" s="175"/>
    </row>
    <row r="245" spans="1:5" ht="12.65" customHeight="1" x14ac:dyDescent="0.35">
      <c r="A245" s="173"/>
      <c r="B245" s="173"/>
      <c r="C245" s="191"/>
      <c r="D245" s="175"/>
      <c r="E245" s="175"/>
    </row>
    <row r="246" spans="1:5" ht="12.65" customHeight="1" x14ac:dyDescent="0.35">
      <c r="A246" s="173"/>
      <c r="B246" s="173"/>
      <c r="C246" s="191"/>
      <c r="D246" s="175"/>
      <c r="E246" s="175"/>
    </row>
    <row r="247" spans="1:5" ht="21.75" customHeight="1" x14ac:dyDescent="0.35">
      <c r="A247" s="173"/>
      <c r="B247" s="173"/>
      <c r="C247" s="191"/>
      <c r="D247" s="175"/>
      <c r="E247" s="175"/>
    </row>
    <row r="248" spans="1:5" ht="12.45" customHeight="1" x14ac:dyDescent="0.35">
      <c r="A248" s="208" t="s">
        <v>360</v>
      </c>
      <c r="B248" s="208"/>
      <c r="C248" s="208"/>
      <c r="D248" s="208"/>
      <c r="E248" s="208"/>
    </row>
    <row r="249" spans="1:5" ht="11.25" customHeight="1" x14ac:dyDescent="0.35">
      <c r="A249" s="256" t="s">
        <v>361</v>
      </c>
      <c r="B249" s="256"/>
      <c r="C249" s="256"/>
      <c r="D249" s="256"/>
      <c r="E249" s="256"/>
    </row>
    <row r="250" spans="1:5" ht="12.45" customHeight="1" x14ac:dyDescent="0.35">
      <c r="A250" s="173" t="s">
        <v>362</v>
      </c>
      <c r="B250" s="172" t="s">
        <v>256</v>
      </c>
      <c r="C250" s="189">
        <v>1908199</v>
      </c>
      <c r="D250" s="175"/>
      <c r="E250" s="175"/>
    </row>
    <row r="251" spans="1:5" ht="12.45" customHeight="1" x14ac:dyDescent="0.3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35">
      <c r="A252" s="173" t="s">
        <v>364</v>
      </c>
      <c r="B252" s="172" t="s">
        <v>256</v>
      </c>
      <c r="C252" s="189">
        <f>10319599-1887636</f>
        <v>8431963</v>
      </c>
      <c r="D252" s="175"/>
      <c r="E252" s="175"/>
    </row>
    <row r="253" spans="1:5" ht="12.45" customHeight="1" x14ac:dyDescent="0.35">
      <c r="A253" s="173" t="s">
        <v>365</v>
      </c>
      <c r="B253" s="172" t="s">
        <v>256</v>
      </c>
      <c r="C253" s="189">
        <v>4624213</v>
      </c>
      <c r="D253" s="175"/>
      <c r="E253" s="175"/>
    </row>
    <row r="254" spans="1:5" ht="12.45" customHeight="1" x14ac:dyDescent="0.35">
      <c r="A254" s="173" t="s">
        <v>1241</v>
      </c>
      <c r="B254" s="172" t="s">
        <v>256</v>
      </c>
      <c r="C254" s="189">
        <v>398273</v>
      </c>
      <c r="D254" s="175"/>
      <c r="E254" s="175"/>
    </row>
    <row r="255" spans="1:5" ht="12.45" customHeight="1" x14ac:dyDescent="0.35">
      <c r="A255" s="173" t="s">
        <v>366</v>
      </c>
      <c r="B255" s="172" t="s">
        <v>256</v>
      </c>
      <c r="C255" s="189">
        <f>144193+72213</f>
        <v>216406</v>
      </c>
      <c r="D255" s="175"/>
      <c r="E255" s="175"/>
    </row>
    <row r="256" spans="1:5" ht="12.45" customHeight="1" x14ac:dyDescent="0.3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35">
      <c r="A257" s="173" t="s">
        <v>368</v>
      </c>
      <c r="B257" s="172" t="s">
        <v>256</v>
      </c>
      <c r="C257" s="189">
        <v>819876</v>
      </c>
      <c r="D257" s="175"/>
      <c r="E257" s="175"/>
    </row>
    <row r="258" spans="1:5" ht="12.45" customHeight="1" x14ac:dyDescent="0.35">
      <c r="A258" s="173" t="s">
        <v>369</v>
      </c>
      <c r="B258" s="172" t="s">
        <v>256</v>
      </c>
      <c r="C258" s="189">
        <v>348644</v>
      </c>
      <c r="D258" s="175"/>
      <c r="E258" s="175"/>
    </row>
    <row r="259" spans="1:5" ht="12.45" customHeight="1" x14ac:dyDescent="0.3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35">
      <c r="A260" s="173" t="s">
        <v>371</v>
      </c>
      <c r="B260" s="175"/>
      <c r="C260" s="191"/>
      <c r="D260" s="175">
        <f>SUM(C250:C252)-C253+SUM(C254:C259)</f>
        <v>7499148</v>
      </c>
      <c r="E260" s="175"/>
    </row>
    <row r="261" spans="1:5" ht="11.25" customHeight="1" x14ac:dyDescent="0.35">
      <c r="A261" s="256" t="s">
        <v>372</v>
      </c>
      <c r="B261" s="256"/>
      <c r="C261" s="256"/>
      <c r="D261" s="256"/>
      <c r="E261" s="256"/>
    </row>
    <row r="262" spans="1:5" ht="12.45" customHeight="1" x14ac:dyDescent="0.35">
      <c r="A262" s="173" t="s">
        <v>362</v>
      </c>
      <c r="B262" s="172" t="s">
        <v>256</v>
      </c>
      <c r="C262" s="189">
        <f>2098826+1855</f>
        <v>2100681</v>
      </c>
      <c r="D262" s="175"/>
      <c r="E262" s="175"/>
    </row>
    <row r="263" spans="1:5" ht="12.45" customHeight="1" x14ac:dyDescent="0.3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3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35">
      <c r="A265" s="173" t="s">
        <v>374</v>
      </c>
      <c r="B265" s="175"/>
      <c r="C265" s="191"/>
      <c r="D265" s="175">
        <f>SUM(C262:C264)</f>
        <v>2100681</v>
      </c>
      <c r="E265" s="175"/>
    </row>
    <row r="266" spans="1:5" ht="11.25" customHeight="1" x14ac:dyDescent="0.35">
      <c r="A266" s="256" t="s">
        <v>375</v>
      </c>
      <c r="B266" s="256"/>
      <c r="C266" s="256"/>
      <c r="D266" s="256"/>
      <c r="E266" s="256"/>
    </row>
    <row r="267" spans="1:5" ht="12.45" customHeight="1" x14ac:dyDescent="0.35">
      <c r="A267" s="173" t="s">
        <v>332</v>
      </c>
      <c r="B267" s="172" t="s">
        <v>256</v>
      </c>
      <c r="C267" s="189">
        <v>146305.63</v>
      </c>
      <c r="D267" s="175"/>
      <c r="E267" s="175"/>
    </row>
    <row r="268" spans="1:5" ht="12.45" customHeight="1" x14ac:dyDescent="0.35">
      <c r="A268" s="173" t="s">
        <v>333</v>
      </c>
      <c r="B268" s="172" t="s">
        <v>256</v>
      </c>
      <c r="C268" s="189">
        <v>1128015.8799999999</v>
      </c>
      <c r="D268" s="175"/>
      <c r="E268" s="175"/>
    </row>
    <row r="269" spans="1:5" ht="12.45" customHeight="1" x14ac:dyDescent="0.35">
      <c r="A269" s="173" t="s">
        <v>334</v>
      </c>
      <c r="B269" s="172" t="s">
        <v>256</v>
      </c>
      <c r="C269" s="189">
        <v>7901929.5300000003</v>
      </c>
      <c r="D269" s="175"/>
      <c r="E269" s="175"/>
    </row>
    <row r="270" spans="1:5" ht="12.45" customHeight="1" x14ac:dyDescent="0.35">
      <c r="A270" s="173" t="s">
        <v>376</v>
      </c>
      <c r="B270" s="172" t="s">
        <v>256</v>
      </c>
      <c r="C270" s="189">
        <v>5863312.0899999999</v>
      </c>
      <c r="D270" s="175"/>
      <c r="E270" s="175"/>
    </row>
    <row r="271" spans="1:5" ht="12.45" customHeight="1" x14ac:dyDescent="0.35">
      <c r="A271" s="173" t="s">
        <v>377</v>
      </c>
      <c r="B271" s="172" t="s">
        <v>256</v>
      </c>
      <c r="C271" s="189">
        <v>324083.28000000003</v>
      </c>
      <c r="D271" s="175"/>
      <c r="E271" s="175"/>
    </row>
    <row r="272" spans="1:5" ht="12.45" customHeight="1" x14ac:dyDescent="0.35">
      <c r="A272" s="173" t="s">
        <v>378</v>
      </c>
      <c r="B272" s="172" t="s">
        <v>256</v>
      </c>
      <c r="C272" s="189">
        <v>8211260.1699999999</v>
      </c>
      <c r="D272" s="175"/>
      <c r="E272" s="175"/>
    </row>
    <row r="273" spans="1:5" ht="12.45" customHeight="1" x14ac:dyDescent="0.3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35">
      <c r="A274" s="173" t="s">
        <v>340</v>
      </c>
      <c r="B274" s="172" t="s">
        <v>256</v>
      </c>
      <c r="C274" s="189">
        <v>723716.01</v>
      </c>
      <c r="D274" s="175"/>
      <c r="E274" s="175"/>
    </row>
    <row r="275" spans="1:5" ht="12.45" customHeight="1" x14ac:dyDescent="0.35">
      <c r="A275" s="173" t="s">
        <v>379</v>
      </c>
      <c r="B275" s="175"/>
      <c r="C275" s="191"/>
      <c r="D275" s="175">
        <f>SUM(C267:C274)</f>
        <v>24298622.59</v>
      </c>
      <c r="E275" s="175"/>
    </row>
    <row r="276" spans="1:5" ht="12.65" customHeight="1" x14ac:dyDescent="0.35">
      <c r="A276" s="173" t="s">
        <v>380</v>
      </c>
      <c r="B276" s="172" t="s">
        <v>256</v>
      </c>
      <c r="C276" s="189">
        <v>14408803</v>
      </c>
      <c r="D276" s="175"/>
      <c r="E276" s="175"/>
    </row>
    <row r="277" spans="1:5" ht="12.65" customHeight="1" x14ac:dyDescent="0.35">
      <c r="A277" s="173" t="s">
        <v>381</v>
      </c>
      <c r="B277" s="175"/>
      <c r="C277" s="191"/>
      <c r="D277" s="175">
        <f>D275-C276</f>
        <v>9889819.5899999999</v>
      </c>
      <c r="E277" s="175"/>
    </row>
    <row r="278" spans="1:5" ht="12.65" customHeight="1" x14ac:dyDescent="0.35">
      <c r="A278" s="256" t="s">
        <v>382</v>
      </c>
      <c r="B278" s="256"/>
      <c r="C278" s="256"/>
      <c r="D278" s="256"/>
      <c r="E278" s="256"/>
    </row>
    <row r="279" spans="1:5" ht="12.65" customHeight="1" x14ac:dyDescent="0.35">
      <c r="A279" s="173" t="s">
        <v>383</v>
      </c>
      <c r="B279" s="172" t="s">
        <v>256</v>
      </c>
      <c r="C279" s="189">
        <f>56221.9+36717.59+1453541.96+11851.78</f>
        <v>1558333.23</v>
      </c>
      <c r="D279" s="175"/>
      <c r="E279" s="175"/>
    </row>
    <row r="280" spans="1:5" ht="12.65" customHeight="1" x14ac:dyDescent="0.35">
      <c r="A280" s="173" t="s">
        <v>384</v>
      </c>
      <c r="B280" s="172" t="s">
        <v>256</v>
      </c>
      <c r="C280" s="189">
        <v>1266088</v>
      </c>
      <c r="D280" s="175"/>
      <c r="E280" s="175"/>
    </row>
    <row r="281" spans="1:5" ht="12.65" customHeight="1" x14ac:dyDescent="0.35">
      <c r="A281" s="173" t="s">
        <v>385</v>
      </c>
      <c r="B281" s="172" t="s">
        <v>256</v>
      </c>
      <c r="C281" s="189"/>
      <c r="D281" s="175"/>
      <c r="E281" s="175"/>
    </row>
    <row r="282" spans="1:5" ht="12.65" customHeight="1" x14ac:dyDescent="0.35">
      <c r="A282" s="173" t="s">
        <v>373</v>
      </c>
      <c r="B282" s="172" t="s">
        <v>256</v>
      </c>
      <c r="C282" s="189"/>
      <c r="D282" s="175"/>
      <c r="E282" s="175"/>
    </row>
    <row r="283" spans="1:5" ht="12.65" customHeight="1" x14ac:dyDescent="0.35">
      <c r="A283" s="173" t="s">
        <v>386</v>
      </c>
      <c r="B283" s="175"/>
      <c r="C283" s="191"/>
      <c r="D283" s="175">
        <f>C279-C280+C281+C282</f>
        <v>292245.23</v>
      </c>
      <c r="E283" s="175"/>
    </row>
    <row r="284" spans="1:5" ht="12.65" customHeight="1" x14ac:dyDescent="0.35">
      <c r="A284" s="173"/>
      <c r="B284" s="175"/>
      <c r="C284" s="191"/>
      <c r="D284" s="175"/>
      <c r="E284" s="175"/>
    </row>
    <row r="285" spans="1:5" ht="12.65" customHeight="1" x14ac:dyDescent="0.35">
      <c r="A285" s="256" t="s">
        <v>387</v>
      </c>
      <c r="B285" s="256"/>
      <c r="C285" s="256"/>
      <c r="D285" s="256"/>
      <c r="E285" s="256"/>
    </row>
    <row r="286" spans="1:5" ht="12.65" customHeight="1" x14ac:dyDescent="0.35">
      <c r="A286" s="173" t="s">
        <v>388</v>
      </c>
      <c r="B286" s="172" t="s">
        <v>256</v>
      </c>
      <c r="C286" s="189"/>
      <c r="D286" s="175"/>
      <c r="E286" s="175"/>
    </row>
    <row r="287" spans="1:5" ht="12.65" customHeight="1" x14ac:dyDescent="0.35">
      <c r="A287" s="173" t="s">
        <v>389</v>
      </c>
      <c r="B287" s="172" t="s">
        <v>256</v>
      </c>
      <c r="C287" s="189"/>
      <c r="D287" s="175"/>
      <c r="E287" s="175"/>
    </row>
    <row r="288" spans="1:5" ht="12.65" customHeight="1" x14ac:dyDescent="0.35">
      <c r="A288" s="173" t="s">
        <v>390</v>
      </c>
      <c r="B288" s="172" t="s">
        <v>256</v>
      </c>
      <c r="C288" s="189"/>
      <c r="D288" s="175"/>
      <c r="E288" s="175"/>
    </row>
    <row r="289" spans="1:5" ht="12.65" customHeight="1" x14ac:dyDescent="0.35">
      <c r="A289" s="173" t="s">
        <v>391</v>
      </c>
      <c r="B289" s="172" t="s">
        <v>256</v>
      </c>
      <c r="C289" s="189"/>
      <c r="D289" s="175"/>
      <c r="E289" s="175"/>
    </row>
    <row r="290" spans="1:5" ht="12.65" customHeight="1" x14ac:dyDescent="0.3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5" customHeight="1" x14ac:dyDescent="0.35">
      <c r="A291" s="173"/>
      <c r="B291" s="175"/>
      <c r="C291" s="191"/>
      <c r="D291" s="175"/>
      <c r="E291" s="175"/>
    </row>
    <row r="292" spans="1:5" ht="12.65" customHeight="1" x14ac:dyDescent="0.35">
      <c r="A292" s="173" t="s">
        <v>393</v>
      </c>
      <c r="B292" s="175"/>
      <c r="C292" s="191"/>
      <c r="D292" s="175">
        <f>D260+D265+D277+D283+D290</f>
        <v>19781893.82</v>
      </c>
      <c r="E292" s="175"/>
    </row>
    <row r="293" spans="1:5" ht="12.65" customHeight="1" x14ac:dyDescent="0.35">
      <c r="A293" s="173"/>
      <c r="B293" s="173"/>
      <c r="C293" s="191"/>
      <c r="D293" s="175"/>
      <c r="E293" s="175"/>
    </row>
    <row r="294" spans="1:5" ht="12.65" customHeight="1" x14ac:dyDescent="0.35">
      <c r="A294" s="173"/>
      <c r="B294" s="173"/>
      <c r="C294" s="191"/>
      <c r="D294" s="175"/>
      <c r="E294" s="175"/>
    </row>
    <row r="295" spans="1:5" ht="12.65" customHeight="1" x14ac:dyDescent="0.35">
      <c r="A295" s="173"/>
      <c r="B295" s="173"/>
      <c r="C295" s="191"/>
      <c r="D295" s="175"/>
      <c r="E295" s="175"/>
    </row>
    <row r="296" spans="1:5" ht="12.65" customHeight="1" x14ac:dyDescent="0.35">
      <c r="A296" s="173"/>
      <c r="B296" s="173"/>
      <c r="C296" s="191"/>
      <c r="D296" s="175"/>
      <c r="E296" s="175"/>
    </row>
    <row r="297" spans="1:5" ht="12.65" customHeight="1" x14ac:dyDescent="0.35">
      <c r="A297" s="173"/>
      <c r="B297" s="173"/>
      <c r="C297" s="191"/>
      <c r="D297" s="175"/>
      <c r="E297" s="175"/>
    </row>
    <row r="298" spans="1:5" ht="12.65" customHeight="1" x14ac:dyDescent="0.35">
      <c r="A298" s="173"/>
      <c r="B298" s="173"/>
      <c r="C298" s="191"/>
      <c r="D298" s="175"/>
      <c r="E298" s="175"/>
    </row>
    <row r="299" spans="1:5" ht="12.65" customHeight="1" x14ac:dyDescent="0.35">
      <c r="A299" s="173"/>
      <c r="B299" s="173"/>
      <c r="C299" s="191"/>
      <c r="D299" s="175"/>
      <c r="E299" s="175"/>
    </row>
    <row r="300" spans="1:5" ht="12.65" customHeight="1" x14ac:dyDescent="0.35">
      <c r="A300" s="173"/>
      <c r="B300" s="173"/>
      <c r="C300" s="191"/>
      <c r="D300" s="175"/>
      <c r="E300" s="175"/>
    </row>
    <row r="301" spans="1:5" ht="20.25" customHeight="1" x14ac:dyDescent="0.35">
      <c r="A301" s="173"/>
      <c r="B301" s="173"/>
      <c r="C301" s="191"/>
      <c r="D301" s="175"/>
      <c r="E301" s="175"/>
    </row>
    <row r="302" spans="1:5" ht="12.65" customHeight="1" x14ac:dyDescent="0.35">
      <c r="A302" s="208" t="s">
        <v>394</v>
      </c>
      <c r="B302" s="208"/>
      <c r="C302" s="208"/>
      <c r="D302" s="208"/>
      <c r="E302" s="208"/>
    </row>
    <row r="303" spans="1:5" ht="14.25" customHeight="1" x14ac:dyDescent="0.35">
      <c r="A303" s="256" t="s">
        <v>395</v>
      </c>
      <c r="B303" s="256"/>
      <c r="C303" s="256"/>
      <c r="D303" s="256"/>
      <c r="E303" s="256"/>
    </row>
    <row r="304" spans="1:5" ht="12.65" customHeight="1" x14ac:dyDescent="0.35">
      <c r="A304" s="173" t="s">
        <v>396</v>
      </c>
      <c r="B304" s="172" t="s">
        <v>256</v>
      </c>
      <c r="C304" s="189"/>
      <c r="D304" s="175"/>
      <c r="E304" s="175"/>
    </row>
    <row r="305" spans="1:5" ht="12.65" customHeight="1" x14ac:dyDescent="0.35">
      <c r="A305" s="173" t="s">
        <v>397</v>
      </c>
      <c r="B305" s="172" t="s">
        <v>256</v>
      </c>
      <c r="C305" s="189">
        <v>1795016</v>
      </c>
      <c r="D305" s="175"/>
      <c r="E305" s="175"/>
    </row>
    <row r="306" spans="1:5" ht="12.65" customHeight="1" x14ac:dyDescent="0.35">
      <c r="A306" s="173" t="s">
        <v>398</v>
      </c>
      <c r="B306" s="172" t="s">
        <v>256</v>
      </c>
      <c r="C306" s="189">
        <f>114900+855321</f>
        <v>970221</v>
      </c>
      <c r="D306" s="175"/>
      <c r="E306" s="175"/>
    </row>
    <row r="307" spans="1:5" ht="12.65" customHeight="1" x14ac:dyDescent="0.35">
      <c r="A307" s="173" t="s">
        <v>399</v>
      </c>
      <c r="B307" s="172" t="s">
        <v>256</v>
      </c>
      <c r="C307" s="189"/>
      <c r="D307" s="175"/>
      <c r="E307" s="175"/>
    </row>
    <row r="308" spans="1:5" ht="12.65" customHeight="1" x14ac:dyDescent="0.35">
      <c r="A308" s="173" t="s">
        <v>400</v>
      </c>
      <c r="B308" s="172" t="s">
        <v>256</v>
      </c>
      <c r="C308" s="189"/>
      <c r="D308" s="175"/>
      <c r="E308" s="175"/>
    </row>
    <row r="309" spans="1:5" ht="12.65" customHeight="1" x14ac:dyDescent="0.35">
      <c r="A309" s="173" t="s">
        <v>1242</v>
      </c>
      <c r="B309" s="172" t="s">
        <v>256</v>
      </c>
      <c r="C309" s="189">
        <v>329711</v>
      </c>
      <c r="D309" s="175"/>
      <c r="E309" s="175"/>
    </row>
    <row r="310" spans="1:5" ht="12.65" customHeight="1" x14ac:dyDescent="0.35">
      <c r="A310" s="173" t="s">
        <v>401</v>
      </c>
      <c r="B310" s="172" t="s">
        <v>256</v>
      </c>
      <c r="C310" s="189"/>
      <c r="D310" s="175"/>
      <c r="E310" s="175"/>
    </row>
    <row r="311" spans="1:5" ht="12.65" customHeight="1" x14ac:dyDescent="0.35">
      <c r="A311" s="173" t="s">
        <v>402</v>
      </c>
      <c r="B311" s="172" t="s">
        <v>256</v>
      </c>
      <c r="C311" s="189"/>
      <c r="D311" s="175"/>
      <c r="E311" s="175"/>
    </row>
    <row r="312" spans="1:5" ht="12.65" customHeight="1" x14ac:dyDescent="0.35">
      <c r="A312" s="173" t="s">
        <v>403</v>
      </c>
      <c r="B312" s="172" t="s">
        <v>256</v>
      </c>
      <c r="C312" s="189">
        <v>24275</v>
      </c>
      <c r="D312" s="175"/>
      <c r="E312" s="175"/>
    </row>
    <row r="313" spans="1:5" ht="12.65" customHeight="1" x14ac:dyDescent="0.35">
      <c r="A313" s="173" t="s">
        <v>404</v>
      </c>
      <c r="B313" s="172" t="s">
        <v>256</v>
      </c>
      <c r="C313" s="189">
        <f>670019+508224</f>
        <v>1178243</v>
      </c>
      <c r="D313" s="175"/>
      <c r="E313" s="175"/>
    </row>
    <row r="314" spans="1:5" ht="12.65" customHeight="1" x14ac:dyDescent="0.35">
      <c r="A314" s="173" t="s">
        <v>405</v>
      </c>
      <c r="B314" s="175"/>
      <c r="C314" s="191"/>
      <c r="D314" s="175">
        <f>SUM(C304:C313)</f>
        <v>4297466</v>
      </c>
      <c r="E314" s="175"/>
    </row>
    <row r="315" spans="1:5" ht="12.65" customHeight="1" x14ac:dyDescent="0.35">
      <c r="A315" s="256" t="s">
        <v>406</v>
      </c>
      <c r="B315" s="256"/>
      <c r="C315" s="256"/>
      <c r="D315" s="256"/>
      <c r="E315" s="256"/>
    </row>
    <row r="316" spans="1:5" ht="12.65" customHeight="1" x14ac:dyDescent="0.35">
      <c r="A316" s="173" t="s">
        <v>407</v>
      </c>
      <c r="B316" s="172" t="s">
        <v>256</v>
      </c>
      <c r="C316" s="189"/>
      <c r="D316" s="175"/>
      <c r="E316" s="175"/>
    </row>
    <row r="317" spans="1:5" ht="12.65" customHeight="1" x14ac:dyDescent="0.35">
      <c r="A317" s="173" t="s">
        <v>408</v>
      </c>
      <c r="B317" s="172" t="s">
        <v>256</v>
      </c>
      <c r="C317" s="189"/>
      <c r="D317" s="175"/>
      <c r="E317" s="175"/>
    </row>
    <row r="318" spans="1:5" ht="12.65" customHeight="1" x14ac:dyDescent="0.35">
      <c r="A318" s="173" t="s">
        <v>409</v>
      </c>
      <c r="B318" s="172" t="s">
        <v>256</v>
      </c>
      <c r="C318" s="189"/>
      <c r="D318" s="175"/>
      <c r="E318" s="175"/>
    </row>
    <row r="319" spans="1:5" ht="12.65" customHeight="1" x14ac:dyDescent="0.3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5" customHeight="1" x14ac:dyDescent="0.35">
      <c r="A320" s="256" t="s">
        <v>411</v>
      </c>
      <c r="B320" s="256"/>
      <c r="C320" s="256"/>
      <c r="D320" s="256"/>
      <c r="E320" s="256"/>
    </row>
    <row r="321" spans="1:5" ht="12.65" customHeight="1" x14ac:dyDescent="0.35">
      <c r="A321" s="173" t="s">
        <v>412</v>
      </c>
      <c r="B321" s="172" t="s">
        <v>256</v>
      </c>
      <c r="C321" s="189"/>
      <c r="D321" s="175"/>
      <c r="E321" s="175"/>
    </row>
    <row r="322" spans="1:5" ht="12.65" customHeight="1" x14ac:dyDescent="0.35">
      <c r="A322" s="173" t="s">
        <v>413</v>
      </c>
      <c r="B322" s="172" t="s">
        <v>256</v>
      </c>
      <c r="C322" s="189"/>
      <c r="D322" s="175"/>
      <c r="E322" s="175"/>
    </row>
    <row r="323" spans="1:5" ht="12.65" customHeight="1" x14ac:dyDescent="0.35">
      <c r="A323" s="173" t="s">
        <v>414</v>
      </c>
      <c r="B323" s="172" t="s">
        <v>256</v>
      </c>
      <c r="C323" s="189">
        <f>4787202+670019</f>
        <v>5457221</v>
      </c>
      <c r="D323" s="175"/>
      <c r="E323" s="175"/>
    </row>
    <row r="324" spans="1:5" ht="12.65" customHeight="1" x14ac:dyDescent="0.35">
      <c r="A324" s="171" t="s">
        <v>415</v>
      </c>
      <c r="B324" s="172" t="s">
        <v>256</v>
      </c>
      <c r="C324" s="189">
        <f>1499124+508224</f>
        <v>2007348</v>
      </c>
      <c r="D324" s="175"/>
      <c r="E324" s="175"/>
    </row>
    <row r="325" spans="1:5" ht="12.65" customHeight="1" x14ac:dyDescent="0.35">
      <c r="A325" s="173" t="s">
        <v>416</v>
      </c>
      <c r="B325" s="172" t="s">
        <v>256</v>
      </c>
      <c r="C325" s="189"/>
      <c r="D325" s="175"/>
      <c r="E325" s="175"/>
    </row>
    <row r="326" spans="1:5" ht="12.65" customHeight="1" x14ac:dyDescent="0.35">
      <c r="A326" s="171" t="s">
        <v>417</v>
      </c>
      <c r="B326" s="172" t="s">
        <v>256</v>
      </c>
      <c r="C326" s="189"/>
      <c r="D326" s="175"/>
      <c r="E326" s="175"/>
    </row>
    <row r="327" spans="1:5" ht="12.65" customHeight="1" x14ac:dyDescent="0.35">
      <c r="A327" s="173" t="s">
        <v>418</v>
      </c>
      <c r="B327" s="172" t="s">
        <v>256</v>
      </c>
      <c r="C327" s="189">
        <v>609229</v>
      </c>
      <c r="D327" s="175"/>
      <c r="E327" s="175"/>
    </row>
    <row r="328" spans="1:5" ht="19.5" customHeight="1" x14ac:dyDescent="0.35">
      <c r="A328" s="173" t="s">
        <v>203</v>
      </c>
      <c r="B328" s="175"/>
      <c r="C328" s="191"/>
      <c r="D328" s="175">
        <f>SUM(C321:C327)</f>
        <v>8073798</v>
      </c>
      <c r="E328" s="175"/>
    </row>
    <row r="329" spans="1:5" ht="12.65" customHeight="1" x14ac:dyDescent="0.35">
      <c r="A329" s="173" t="s">
        <v>419</v>
      </c>
      <c r="B329" s="175"/>
      <c r="C329" s="191"/>
      <c r="D329" s="175">
        <f>C313</f>
        <v>1178243</v>
      </c>
      <c r="E329" s="175"/>
    </row>
    <row r="330" spans="1:5" ht="12.65" customHeight="1" x14ac:dyDescent="0.35">
      <c r="A330" s="173" t="s">
        <v>420</v>
      </c>
      <c r="B330" s="175"/>
      <c r="C330" s="191"/>
      <c r="D330" s="175">
        <f>D328-D329</f>
        <v>6895555</v>
      </c>
      <c r="E330" s="175"/>
    </row>
    <row r="331" spans="1:5" ht="12.65" customHeight="1" x14ac:dyDescent="0.35">
      <c r="A331" s="173"/>
      <c r="B331" s="175"/>
      <c r="C331" s="191"/>
      <c r="D331" s="175"/>
      <c r="E331" s="175"/>
    </row>
    <row r="332" spans="1:5" ht="12.65" customHeight="1" x14ac:dyDescent="0.35">
      <c r="A332" s="173" t="s">
        <v>421</v>
      </c>
      <c r="B332" s="172" t="s">
        <v>256</v>
      </c>
      <c r="C332" s="222">
        <v>8588873</v>
      </c>
      <c r="D332" s="175"/>
      <c r="E332" s="175"/>
    </row>
    <row r="333" spans="1:5" ht="12.65" customHeight="1" x14ac:dyDescent="0.35">
      <c r="A333" s="173"/>
      <c r="B333" s="172"/>
      <c r="C333" s="231"/>
      <c r="D333" s="175"/>
      <c r="E333" s="175"/>
    </row>
    <row r="334" spans="1:5" ht="12.65" customHeight="1" x14ac:dyDescent="0.35">
      <c r="A334" s="173" t="s">
        <v>1142</v>
      </c>
      <c r="B334" s="172" t="s">
        <v>256</v>
      </c>
      <c r="C334" s="222"/>
      <c r="D334" s="175"/>
      <c r="E334" s="175"/>
    </row>
    <row r="335" spans="1:5" ht="12.65" customHeight="1" x14ac:dyDescent="0.35">
      <c r="A335" s="173" t="s">
        <v>1143</v>
      </c>
      <c r="B335" s="172" t="s">
        <v>256</v>
      </c>
      <c r="C335" s="222"/>
      <c r="D335" s="175"/>
      <c r="E335" s="175"/>
    </row>
    <row r="336" spans="1:5" ht="12.65" customHeight="1" x14ac:dyDescent="0.35">
      <c r="A336" s="173" t="s">
        <v>423</v>
      </c>
      <c r="B336" s="172" t="s">
        <v>256</v>
      </c>
      <c r="C336" s="222"/>
      <c r="D336" s="175"/>
      <c r="E336" s="175"/>
    </row>
    <row r="337" spans="1:5" ht="12.65" customHeight="1" x14ac:dyDescent="0.35">
      <c r="A337" s="173" t="s">
        <v>422</v>
      </c>
      <c r="B337" s="172" t="s">
        <v>256</v>
      </c>
      <c r="C337" s="189"/>
      <c r="D337" s="175"/>
      <c r="E337" s="175"/>
    </row>
    <row r="338" spans="1:5" ht="12.65" customHeight="1" x14ac:dyDescent="0.35">
      <c r="A338" s="173" t="s">
        <v>1253</v>
      </c>
      <c r="B338" s="172" t="s">
        <v>256</v>
      </c>
      <c r="C338" s="189"/>
      <c r="D338" s="175"/>
      <c r="E338" s="175"/>
    </row>
    <row r="339" spans="1:5" ht="12.65" customHeight="1" x14ac:dyDescent="0.35">
      <c r="A339" s="173" t="s">
        <v>424</v>
      </c>
      <c r="B339" s="175"/>
      <c r="C339" s="191"/>
      <c r="D339" s="175">
        <f>D314+D319+D330+C332+C336+C337</f>
        <v>19781894</v>
      </c>
      <c r="E339" s="175"/>
    </row>
    <row r="340" spans="1:5" ht="12.65" customHeight="1" x14ac:dyDescent="0.35">
      <c r="A340" s="173"/>
      <c r="B340" s="175"/>
      <c r="C340" s="191"/>
      <c r="D340" s="175"/>
      <c r="E340" s="175"/>
    </row>
    <row r="341" spans="1:5" ht="12.65" customHeight="1" x14ac:dyDescent="0.35">
      <c r="A341" s="173" t="s">
        <v>425</v>
      </c>
      <c r="B341" s="175"/>
      <c r="C341" s="191"/>
      <c r="D341" s="175">
        <f>D292</f>
        <v>19781893.82</v>
      </c>
      <c r="E341" s="175"/>
    </row>
    <row r="342" spans="1:5" ht="12.65" customHeight="1" x14ac:dyDescent="0.35">
      <c r="A342" s="173"/>
      <c r="B342" s="173"/>
      <c r="C342" s="191"/>
      <c r="D342" s="175"/>
      <c r="E342" s="175"/>
    </row>
    <row r="343" spans="1:5" ht="12.65" customHeight="1" x14ac:dyDescent="0.35">
      <c r="A343" s="173"/>
      <c r="B343" s="173"/>
      <c r="C343" s="191"/>
      <c r="D343" s="175"/>
      <c r="E343" s="175"/>
    </row>
    <row r="344" spans="1:5" ht="12.65" customHeight="1" x14ac:dyDescent="0.35">
      <c r="A344" s="173"/>
      <c r="B344" s="173"/>
      <c r="C344" s="191"/>
      <c r="D344" s="175"/>
      <c r="E344" s="175"/>
    </row>
    <row r="345" spans="1:5" ht="12.65" customHeight="1" x14ac:dyDescent="0.35">
      <c r="A345" s="173"/>
      <c r="B345" s="173"/>
      <c r="C345" s="191"/>
      <c r="D345" s="175"/>
      <c r="E345" s="175"/>
    </row>
    <row r="346" spans="1:5" ht="12.65" customHeight="1" x14ac:dyDescent="0.35">
      <c r="A346" s="173"/>
      <c r="B346" s="173"/>
      <c r="C346" s="191"/>
      <c r="D346" s="175"/>
      <c r="E346" s="175"/>
    </row>
    <row r="347" spans="1:5" ht="12.65" customHeight="1" x14ac:dyDescent="0.35">
      <c r="A347" s="173"/>
      <c r="B347" s="173"/>
      <c r="C347" s="191"/>
      <c r="D347" s="175"/>
      <c r="E347" s="175"/>
    </row>
    <row r="348" spans="1:5" ht="12.65" customHeight="1" x14ac:dyDescent="0.35">
      <c r="A348" s="173"/>
      <c r="B348" s="173"/>
      <c r="C348" s="191"/>
      <c r="D348" s="175"/>
      <c r="E348" s="175"/>
    </row>
    <row r="349" spans="1:5" ht="12.65" customHeight="1" x14ac:dyDescent="0.35">
      <c r="A349" s="173"/>
      <c r="B349" s="173"/>
      <c r="C349" s="191"/>
      <c r="D349" s="175"/>
      <c r="E349" s="175"/>
    </row>
    <row r="350" spans="1:5" ht="12.65" customHeight="1" x14ac:dyDescent="0.35">
      <c r="A350" s="173"/>
      <c r="B350" s="173"/>
      <c r="C350" s="191"/>
      <c r="D350" s="175"/>
      <c r="E350" s="175"/>
    </row>
    <row r="351" spans="1:5" ht="12.65" customHeight="1" x14ac:dyDescent="0.35">
      <c r="A351" s="173"/>
      <c r="B351" s="173"/>
      <c r="C351" s="191"/>
      <c r="D351" s="175"/>
      <c r="E351" s="175"/>
    </row>
    <row r="352" spans="1:5" ht="12.65" customHeight="1" x14ac:dyDescent="0.35">
      <c r="A352" s="173"/>
      <c r="B352" s="173"/>
      <c r="C352" s="191"/>
      <c r="D352" s="175"/>
      <c r="E352" s="175"/>
    </row>
    <row r="353" spans="1:5" ht="12.65" customHeight="1" x14ac:dyDescent="0.35">
      <c r="A353" s="173"/>
      <c r="B353" s="173"/>
      <c r="C353" s="191"/>
      <c r="D353" s="175"/>
      <c r="E353" s="175"/>
    </row>
    <row r="354" spans="1:5" ht="12.65" customHeight="1" x14ac:dyDescent="0.35">
      <c r="A354" s="173"/>
      <c r="B354" s="173"/>
      <c r="C354" s="191"/>
      <c r="D354" s="175"/>
      <c r="E354" s="175"/>
    </row>
    <row r="355" spans="1:5" ht="12.65" customHeight="1" x14ac:dyDescent="0.35">
      <c r="A355" s="173"/>
      <c r="B355" s="173"/>
      <c r="C355" s="191"/>
      <c r="D355" s="175"/>
      <c r="E355" s="175"/>
    </row>
    <row r="356" spans="1:5" ht="20.25" customHeight="1" x14ac:dyDescent="0.35">
      <c r="A356" s="173"/>
      <c r="B356" s="173"/>
      <c r="C356" s="191"/>
      <c r="D356" s="175"/>
      <c r="E356" s="175"/>
    </row>
    <row r="357" spans="1:5" ht="12.65" customHeight="1" x14ac:dyDescent="0.35">
      <c r="A357" s="208" t="s">
        <v>426</v>
      </c>
      <c r="B357" s="208"/>
      <c r="C357" s="208"/>
      <c r="D357" s="208"/>
      <c r="E357" s="208"/>
    </row>
    <row r="358" spans="1:5" ht="12.65" customHeight="1" x14ac:dyDescent="0.35">
      <c r="A358" s="256" t="s">
        <v>427</v>
      </c>
      <c r="B358" s="256"/>
      <c r="C358" s="256"/>
      <c r="D358" s="256"/>
      <c r="E358" s="256"/>
    </row>
    <row r="359" spans="1:5" ht="12.65" customHeight="1" x14ac:dyDescent="0.35">
      <c r="A359" s="173" t="s">
        <v>428</v>
      </c>
      <c r="B359" s="172" t="s">
        <v>256</v>
      </c>
      <c r="C359" s="189">
        <v>13404848</v>
      </c>
      <c r="D359" s="175"/>
      <c r="E359" s="175"/>
    </row>
    <row r="360" spans="1:5" ht="12.65" customHeight="1" x14ac:dyDescent="0.35">
      <c r="A360" s="173" t="s">
        <v>429</v>
      </c>
      <c r="B360" s="172" t="s">
        <v>256</v>
      </c>
      <c r="C360" s="189">
        <v>52221500</v>
      </c>
      <c r="D360" s="175"/>
      <c r="E360" s="175"/>
    </row>
    <row r="361" spans="1:5" ht="12.65" customHeight="1" x14ac:dyDescent="0.35">
      <c r="A361" s="173" t="s">
        <v>430</v>
      </c>
      <c r="B361" s="175"/>
      <c r="C361" s="191"/>
      <c r="D361" s="175">
        <f>SUM(C359:C360)</f>
        <v>65626348</v>
      </c>
      <c r="E361" s="175"/>
    </row>
    <row r="362" spans="1:5" ht="12.65" customHeight="1" x14ac:dyDescent="0.35">
      <c r="A362" s="256" t="s">
        <v>431</v>
      </c>
      <c r="B362" s="256"/>
      <c r="C362" s="256"/>
      <c r="D362" s="256"/>
      <c r="E362" s="256"/>
    </row>
    <row r="363" spans="1:5" ht="12.65" customHeight="1" x14ac:dyDescent="0.35">
      <c r="A363" s="173" t="s">
        <v>1255</v>
      </c>
      <c r="B363" s="256"/>
      <c r="C363" s="189">
        <v>712101</v>
      </c>
      <c r="D363" s="175"/>
      <c r="E363" s="256"/>
    </row>
    <row r="364" spans="1:5" ht="12.65" customHeight="1" x14ac:dyDescent="0.35">
      <c r="A364" s="173" t="s">
        <v>432</v>
      </c>
      <c r="B364" s="172" t="s">
        <v>256</v>
      </c>
      <c r="C364" s="189">
        <v>32297576.809999999</v>
      </c>
      <c r="D364" s="175"/>
      <c r="E364" s="175"/>
    </row>
    <row r="365" spans="1:5" ht="12.65" customHeight="1" x14ac:dyDescent="0.35">
      <c r="A365" s="173" t="s">
        <v>433</v>
      </c>
      <c r="B365" s="172" t="s">
        <v>256</v>
      </c>
      <c r="C365" s="189">
        <v>920102</v>
      </c>
      <c r="D365" s="175"/>
      <c r="E365" s="175"/>
    </row>
    <row r="366" spans="1:5" ht="12.65" customHeight="1" x14ac:dyDescent="0.35">
      <c r="A366" s="173" t="s">
        <v>434</v>
      </c>
      <c r="B366" s="172" t="s">
        <v>256</v>
      </c>
      <c r="C366" s="189">
        <v>831605</v>
      </c>
      <c r="D366" s="175"/>
      <c r="E366" s="175"/>
    </row>
    <row r="367" spans="1:5" ht="12.65" customHeight="1" x14ac:dyDescent="0.35">
      <c r="A367" s="173" t="s">
        <v>359</v>
      </c>
      <c r="B367" s="175"/>
      <c r="C367" s="191"/>
      <c r="D367" s="175">
        <f>SUM(C363:C366)</f>
        <v>34761384.810000002</v>
      </c>
      <c r="E367" s="175"/>
    </row>
    <row r="368" spans="1:5" ht="12.65" customHeight="1" x14ac:dyDescent="0.35">
      <c r="A368" s="173" t="s">
        <v>435</v>
      </c>
      <c r="B368" s="175"/>
      <c r="C368" s="191"/>
      <c r="D368" s="175">
        <f>D361-D367</f>
        <v>30864963.189999998</v>
      </c>
      <c r="E368" s="175"/>
    </row>
    <row r="369" spans="1:5" ht="12.65" customHeight="1" x14ac:dyDescent="0.35">
      <c r="A369" s="256" t="s">
        <v>436</v>
      </c>
      <c r="B369" s="256"/>
      <c r="C369" s="256"/>
      <c r="D369" s="256"/>
      <c r="E369" s="256"/>
    </row>
    <row r="370" spans="1:5" ht="12.65" customHeight="1" x14ac:dyDescent="0.35">
      <c r="A370" s="173" t="s">
        <v>437</v>
      </c>
      <c r="B370" s="172" t="s">
        <v>256</v>
      </c>
      <c r="C370" s="189">
        <v>462242</v>
      </c>
      <c r="D370" s="175"/>
      <c r="E370" s="175"/>
    </row>
    <row r="371" spans="1:5" ht="12.65" customHeight="1" x14ac:dyDescent="0.35">
      <c r="A371" s="173" t="s">
        <v>438</v>
      </c>
      <c r="B371" s="172" t="s">
        <v>256</v>
      </c>
      <c r="C371" s="189">
        <v>1039314</v>
      </c>
      <c r="D371" s="175"/>
      <c r="E371" s="175"/>
    </row>
    <row r="372" spans="1:5" ht="12.65" customHeight="1" x14ac:dyDescent="0.35">
      <c r="A372" s="173" t="s">
        <v>439</v>
      </c>
      <c r="B372" s="175"/>
      <c r="C372" s="191"/>
      <c r="D372" s="175">
        <f>SUM(C370:C371)</f>
        <v>1501556</v>
      </c>
      <c r="E372" s="175"/>
    </row>
    <row r="373" spans="1:5" ht="12.65" customHeight="1" x14ac:dyDescent="0.35">
      <c r="A373" s="173" t="s">
        <v>440</v>
      </c>
      <c r="B373" s="175"/>
      <c r="C373" s="191"/>
      <c r="D373" s="175">
        <f>D368+D372</f>
        <v>32366519.189999998</v>
      </c>
      <c r="E373" s="175"/>
    </row>
    <row r="374" spans="1:5" ht="12.65" customHeight="1" x14ac:dyDescent="0.35">
      <c r="A374" s="173"/>
      <c r="B374" s="175"/>
      <c r="C374" s="191"/>
      <c r="D374" s="175"/>
      <c r="E374" s="175"/>
    </row>
    <row r="375" spans="1:5" ht="12.65" customHeight="1" x14ac:dyDescent="0.35">
      <c r="A375" s="173"/>
      <c r="B375" s="175"/>
      <c r="C375" s="191"/>
      <c r="D375" s="175"/>
      <c r="E375" s="175"/>
    </row>
    <row r="376" spans="1:5" ht="12.65" customHeight="1" x14ac:dyDescent="0.35">
      <c r="A376" s="173"/>
      <c r="B376" s="175"/>
      <c r="C376" s="191"/>
      <c r="D376" s="175"/>
      <c r="E376" s="175"/>
    </row>
    <row r="377" spans="1:5" ht="12.65" customHeight="1" x14ac:dyDescent="0.35">
      <c r="A377" s="256" t="s">
        <v>441</v>
      </c>
      <c r="B377" s="256"/>
      <c r="C377" s="256"/>
      <c r="D377" s="256"/>
      <c r="E377" s="256"/>
    </row>
    <row r="378" spans="1:5" ht="12.65" customHeight="1" x14ac:dyDescent="0.35">
      <c r="A378" s="173" t="s">
        <v>442</v>
      </c>
      <c r="B378" s="172" t="s">
        <v>256</v>
      </c>
      <c r="C378" s="189">
        <v>14865003</v>
      </c>
      <c r="D378" s="175"/>
      <c r="E378" s="175"/>
    </row>
    <row r="379" spans="1:5" ht="12.65" customHeight="1" x14ac:dyDescent="0.35">
      <c r="A379" s="173" t="s">
        <v>3</v>
      </c>
      <c r="B379" s="172" t="s">
        <v>256</v>
      </c>
      <c r="C379" s="189">
        <v>3763692</v>
      </c>
      <c r="D379" s="175"/>
      <c r="E379" s="175"/>
    </row>
    <row r="380" spans="1:5" ht="12.65" customHeight="1" x14ac:dyDescent="0.35">
      <c r="A380" s="173" t="s">
        <v>236</v>
      </c>
      <c r="B380" s="172" t="s">
        <v>256</v>
      </c>
      <c r="C380" s="189">
        <v>4704936</v>
      </c>
      <c r="D380" s="175"/>
      <c r="E380" s="175"/>
    </row>
    <row r="381" spans="1:5" ht="12.65" customHeight="1" x14ac:dyDescent="0.35">
      <c r="A381" s="173" t="s">
        <v>443</v>
      </c>
      <c r="B381" s="172" t="s">
        <v>256</v>
      </c>
      <c r="C381" s="189">
        <v>4196122</v>
      </c>
      <c r="D381" s="175"/>
      <c r="E381" s="175"/>
    </row>
    <row r="382" spans="1:5" ht="12.65" customHeight="1" x14ac:dyDescent="0.35">
      <c r="A382" s="173" t="s">
        <v>444</v>
      </c>
      <c r="B382" s="172" t="s">
        <v>256</v>
      </c>
      <c r="C382" s="189">
        <v>451155</v>
      </c>
      <c r="D382" s="175"/>
      <c r="E382" s="175"/>
    </row>
    <row r="383" spans="1:5" ht="12.65" customHeight="1" x14ac:dyDescent="0.35">
      <c r="A383" s="173" t="s">
        <v>445</v>
      </c>
      <c r="B383" s="172" t="s">
        <v>256</v>
      </c>
      <c r="C383" s="189">
        <v>2110167</v>
      </c>
      <c r="D383" s="175"/>
      <c r="E383" s="175"/>
    </row>
    <row r="384" spans="1:5" ht="12.65" customHeight="1" x14ac:dyDescent="0.35">
      <c r="A384" s="173" t="s">
        <v>6</v>
      </c>
      <c r="B384" s="172" t="s">
        <v>256</v>
      </c>
      <c r="C384" s="189">
        <v>1301781</v>
      </c>
      <c r="D384" s="175"/>
      <c r="E384" s="175"/>
    </row>
    <row r="385" spans="1:6" ht="12.65" customHeight="1" x14ac:dyDescent="0.35">
      <c r="A385" s="173" t="s">
        <v>446</v>
      </c>
      <c r="B385" s="172" t="s">
        <v>256</v>
      </c>
      <c r="C385" s="189">
        <v>384460</v>
      </c>
      <c r="D385" s="175"/>
      <c r="E385" s="175"/>
    </row>
    <row r="386" spans="1:6" ht="12.65" customHeight="1" x14ac:dyDescent="0.35">
      <c r="A386" s="173" t="s">
        <v>447</v>
      </c>
      <c r="B386" s="172" t="s">
        <v>256</v>
      </c>
      <c r="C386" s="189">
        <v>458355</v>
      </c>
      <c r="D386" s="175"/>
      <c r="E386" s="175"/>
    </row>
    <row r="387" spans="1:6" ht="12.65" customHeight="1" x14ac:dyDescent="0.35">
      <c r="A387" s="173" t="s">
        <v>448</v>
      </c>
      <c r="B387" s="172" t="s">
        <v>256</v>
      </c>
      <c r="C387" s="189">
        <v>190222.1</v>
      </c>
      <c r="D387" s="175"/>
      <c r="E387" s="175"/>
    </row>
    <row r="388" spans="1:6" ht="12.65" customHeight="1" x14ac:dyDescent="0.35">
      <c r="A388" s="173" t="s">
        <v>449</v>
      </c>
      <c r="B388" s="172" t="s">
        <v>256</v>
      </c>
      <c r="C388" s="189">
        <v>312018</v>
      </c>
      <c r="D388" s="175"/>
      <c r="E388" s="175"/>
    </row>
    <row r="389" spans="1:6" ht="12.65" customHeight="1" x14ac:dyDescent="0.35">
      <c r="A389" s="173" t="s">
        <v>451</v>
      </c>
      <c r="B389" s="172" t="s">
        <v>256</v>
      </c>
      <c r="C389" s="189">
        <f>412369-190222.1</f>
        <v>222146.9</v>
      </c>
      <c r="D389" s="175"/>
      <c r="E389" s="175"/>
    </row>
    <row r="390" spans="1:6" ht="12.65" customHeight="1" x14ac:dyDescent="0.35">
      <c r="A390" s="173" t="s">
        <v>452</v>
      </c>
      <c r="B390" s="175"/>
      <c r="C390" s="191"/>
      <c r="D390" s="175">
        <f>SUM(C378:C389)</f>
        <v>32960058</v>
      </c>
      <c r="E390" s="175"/>
    </row>
    <row r="391" spans="1:6" ht="12.65" customHeight="1" x14ac:dyDescent="0.35">
      <c r="A391" s="173" t="s">
        <v>453</v>
      </c>
      <c r="B391" s="175"/>
      <c r="C391" s="191"/>
      <c r="D391" s="175">
        <f>D373-D390</f>
        <v>-593538.81000000238</v>
      </c>
      <c r="E391" s="175"/>
    </row>
    <row r="392" spans="1:6" ht="12.65" customHeight="1" x14ac:dyDescent="0.35">
      <c r="A392" s="173" t="s">
        <v>454</v>
      </c>
      <c r="B392" s="172" t="s">
        <v>256</v>
      </c>
      <c r="C392" s="189">
        <f>24288+315306+507495-132417+7394</f>
        <v>722066</v>
      </c>
      <c r="D392" s="175"/>
      <c r="E392" s="175"/>
    </row>
    <row r="393" spans="1:6" ht="12.65" customHeight="1" x14ac:dyDescent="0.35">
      <c r="A393" s="173" t="s">
        <v>455</v>
      </c>
      <c r="B393" s="175"/>
      <c r="C393" s="191"/>
      <c r="D393" s="195">
        <f>D391+C392</f>
        <v>128527.18999999762</v>
      </c>
      <c r="E393" s="175"/>
      <c r="F393" s="197"/>
    </row>
    <row r="394" spans="1:6" ht="12.65" customHeight="1" x14ac:dyDescent="0.35">
      <c r="A394" s="173" t="s">
        <v>456</v>
      </c>
      <c r="B394" s="172" t="s">
        <v>256</v>
      </c>
      <c r="C394" s="189">
        <f>-39563</f>
        <v>-39563</v>
      </c>
      <c r="D394" s="175"/>
      <c r="E394" s="175"/>
    </row>
    <row r="395" spans="1:6" ht="12.65" customHeight="1" x14ac:dyDescent="0.35">
      <c r="A395" s="173" t="s">
        <v>457</v>
      </c>
      <c r="B395" s="172" t="s">
        <v>256</v>
      </c>
      <c r="C395" s="189"/>
      <c r="D395" s="175"/>
      <c r="E395" s="175"/>
    </row>
    <row r="396" spans="1:6" ht="12.65" customHeight="1" x14ac:dyDescent="0.35">
      <c r="A396" s="173" t="s">
        <v>458</v>
      </c>
      <c r="B396" s="175"/>
      <c r="C396" s="191"/>
      <c r="D396" s="175">
        <f>D393+C394-C395</f>
        <v>88964.189999997616</v>
      </c>
      <c r="E396" s="175"/>
    </row>
    <row r="397" spans="1:6" ht="13.5" customHeight="1" x14ac:dyDescent="0.35">
      <c r="A397" s="179"/>
      <c r="B397" s="179"/>
    </row>
    <row r="398" spans="1:6" ht="12.65" customHeight="1" x14ac:dyDescent="0.35">
      <c r="A398" s="179"/>
      <c r="B398" s="179"/>
    </row>
    <row r="399" spans="1:6" ht="12.65" customHeight="1" x14ac:dyDescent="0.35">
      <c r="A399" s="179"/>
      <c r="B399" s="179"/>
    </row>
    <row r="400" spans="1:6" ht="12" customHeight="1" x14ac:dyDescent="0.35">
      <c r="A400" s="179"/>
      <c r="B400" s="179"/>
    </row>
    <row r="401" spans="1:5" ht="12" customHeight="1" x14ac:dyDescent="0.35">
      <c r="A401" s="179"/>
      <c r="B401" s="179"/>
    </row>
    <row r="402" spans="1:5" ht="12" customHeight="1" x14ac:dyDescent="0.35">
      <c r="A402" s="179"/>
      <c r="B402" s="179"/>
    </row>
    <row r="403" spans="1:5" ht="12" customHeight="1" x14ac:dyDescent="0.35">
      <c r="A403" s="179"/>
      <c r="B403" s="179"/>
    </row>
    <row r="404" spans="1:5" ht="12" customHeight="1" x14ac:dyDescent="0.35">
      <c r="A404" s="179"/>
      <c r="B404" s="179"/>
    </row>
    <row r="405" spans="1:5" ht="12.65" customHeight="1" x14ac:dyDescent="0.35">
      <c r="A405" s="179"/>
      <c r="B405" s="179"/>
    </row>
    <row r="406" spans="1:5" ht="12.65" customHeight="1" x14ac:dyDescent="0.35">
      <c r="A406" s="179"/>
      <c r="B406" s="179"/>
    </row>
    <row r="407" spans="1:5" ht="12.65" customHeight="1" x14ac:dyDescent="0.35">
      <c r="A407" s="179"/>
      <c r="B407" s="179"/>
    </row>
    <row r="408" spans="1:5" ht="12.65" customHeight="1" x14ac:dyDescent="0.35">
      <c r="A408" s="179"/>
      <c r="B408" s="179"/>
    </row>
    <row r="409" spans="1:5" ht="12.65" customHeight="1" x14ac:dyDescent="0.35">
      <c r="A409" s="179"/>
      <c r="B409" s="179"/>
    </row>
    <row r="410" spans="1:5" ht="12.65" customHeight="1" x14ac:dyDescent="0.35">
      <c r="A410" s="179"/>
      <c r="B410" s="179"/>
    </row>
    <row r="411" spans="1:5" ht="12.65" customHeight="1" x14ac:dyDescent="0.35">
      <c r="A411" s="179"/>
      <c r="B411" s="179"/>
      <c r="C411" s="181" t="s">
        <v>459</v>
      </c>
      <c r="D411" s="179"/>
      <c r="E411" s="259"/>
    </row>
    <row r="412" spans="1:5" ht="12.65" customHeight="1" x14ac:dyDescent="0.35">
      <c r="A412" s="179" t="str">
        <f>C84&amp;"   "&amp;"H-"&amp;FIXED(C83,0,TRUE)&amp;"     FYE "&amp;C82</f>
        <v>Mid Valley Hospital   H-0     FYE 12/31/2018</v>
      </c>
      <c r="B412" s="179"/>
      <c r="C412" s="179"/>
      <c r="D412" s="179"/>
      <c r="E412" s="259"/>
    </row>
    <row r="413" spans="1:5" ht="12.65" customHeight="1" x14ac:dyDescent="0.3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5" customHeight="1" x14ac:dyDescent="0.35">
      <c r="A414" s="179" t="s">
        <v>463</v>
      </c>
      <c r="B414" s="179">
        <f>C111</f>
        <v>694</v>
      </c>
      <c r="C414" s="194">
        <f>E138</f>
        <v>694</v>
      </c>
      <c r="D414" s="179"/>
    </row>
    <row r="415" spans="1:5" ht="12.65" customHeight="1" x14ac:dyDescent="0.35">
      <c r="A415" s="179" t="s">
        <v>464</v>
      </c>
      <c r="B415" s="179">
        <f>D111</f>
        <v>1725</v>
      </c>
      <c r="C415" s="179">
        <f>E139</f>
        <v>1725</v>
      </c>
      <c r="D415" s="194">
        <f>SUM(C59:H59)+N59</f>
        <v>1725</v>
      </c>
    </row>
    <row r="416" spans="1:5" ht="12.65" customHeight="1" x14ac:dyDescent="0.35">
      <c r="A416" s="179"/>
      <c r="B416" s="179"/>
      <c r="C416" s="194"/>
      <c r="D416" s="179"/>
    </row>
    <row r="417" spans="1:7" ht="12.65" customHeight="1" x14ac:dyDescent="0.35">
      <c r="A417" s="179" t="s">
        <v>465</v>
      </c>
      <c r="B417" s="179">
        <f>C112</f>
        <v>1</v>
      </c>
      <c r="C417" s="194">
        <f>E144</f>
        <v>1</v>
      </c>
      <c r="D417" s="179"/>
    </row>
    <row r="418" spans="1:7" ht="12.65" customHeight="1" x14ac:dyDescent="0.35">
      <c r="A418" s="179" t="s">
        <v>466</v>
      </c>
      <c r="B418" s="179">
        <f>D112</f>
        <v>49</v>
      </c>
      <c r="C418" s="179">
        <f>E145</f>
        <v>49</v>
      </c>
      <c r="D418" s="179">
        <f>K59+L59</f>
        <v>49</v>
      </c>
    </row>
    <row r="419" spans="1:7" ht="12.65" customHeight="1" x14ac:dyDescent="0.35">
      <c r="A419" s="179"/>
      <c r="B419" s="179"/>
      <c r="C419" s="194"/>
      <c r="D419" s="179"/>
    </row>
    <row r="420" spans="1:7" ht="12.65" customHeight="1" x14ac:dyDescent="0.3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5" customHeight="1" x14ac:dyDescent="0.3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5" customHeight="1" x14ac:dyDescent="0.35">
      <c r="A422" s="206"/>
      <c r="B422" s="206"/>
      <c r="C422" s="181"/>
      <c r="D422" s="179"/>
    </row>
    <row r="423" spans="1:7" ht="12.65" customHeight="1" x14ac:dyDescent="0.35">
      <c r="A423" s="180" t="s">
        <v>469</v>
      </c>
      <c r="B423" s="180">
        <f>C114</f>
        <v>216</v>
      </c>
    </row>
    <row r="424" spans="1:7" ht="12.65" customHeight="1" x14ac:dyDescent="0.35">
      <c r="A424" s="179" t="s">
        <v>1244</v>
      </c>
      <c r="B424" s="179">
        <f>D114</f>
        <v>387</v>
      </c>
      <c r="D424" s="179">
        <f>J59</f>
        <v>387</v>
      </c>
    </row>
    <row r="425" spans="1:7" ht="12.65" customHeight="1" x14ac:dyDescent="0.35">
      <c r="A425" s="206"/>
      <c r="B425" s="206"/>
      <c r="C425" s="206"/>
      <c r="D425" s="206"/>
      <c r="F425" s="206"/>
      <c r="G425" s="206"/>
    </row>
    <row r="426" spans="1:7" ht="12.65" customHeight="1" x14ac:dyDescent="0.3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5" customHeight="1" x14ac:dyDescent="0.35">
      <c r="A427" s="179" t="s">
        <v>473</v>
      </c>
      <c r="B427" s="179">
        <f t="shared" ref="B427:B437" si="12">C378</f>
        <v>14865003</v>
      </c>
      <c r="C427" s="179">
        <f t="shared" ref="C427:C434" si="13">CE61</f>
        <v>14865004</v>
      </c>
      <c r="D427" s="179"/>
    </row>
    <row r="428" spans="1:7" ht="12.65" customHeight="1" x14ac:dyDescent="0.35">
      <c r="A428" s="179" t="s">
        <v>3</v>
      </c>
      <c r="B428" s="179">
        <f t="shared" si="12"/>
        <v>3763692</v>
      </c>
      <c r="C428" s="179">
        <f t="shared" si="13"/>
        <v>3763692</v>
      </c>
      <c r="D428" s="179">
        <f>D173</f>
        <v>3769192.32</v>
      </c>
    </row>
    <row r="429" spans="1:7" ht="12.65" customHeight="1" x14ac:dyDescent="0.35">
      <c r="A429" s="179" t="s">
        <v>236</v>
      </c>
      <c r="B429" s="179">
        <f t="shared" si="12"/>
        <v>4704936</v>
      </c>
      <c r="C429" s="179">
        <f t="shared" si="13"/>
        <v>4704935</v>
      </c>
      <c r="D429" s="179"/>
    </row>
    <row r="430" spans="1:7" ht="12.65" customHeight="1" x14ac:dyDescent="0.35">
      <c r="A430" s="179" t="s">
        <v>237</v>
      </c>
      <c r="B430" s="179">
        <f t="shared" si="12"/>
        <v>4196122</v>
      </c>
      <c r="C430" s="179">
        <f t="shared" si="13"/>
        <v>4196125</v>
      </c>
      <c r="D430" s="179"/>
    </row>
    <row r="431" spans="1:7" ht="12.65" customHeight="1" x14ac:dyDescent="0.35">
      <c r="A431" s="179" t="s">
        <v>444</v>
      </c>
      <c r="B431" s="179">
        <f t="shared" si="12"/>
        <v>451155</v>
      </c>
      <c r="C431" s="179">
        <f t="shared" si="13"/>
        <v>451155</v>
      </c>
      <c r="D431" s="179"/>
    </row>
    <row r="432" spans="1:7" ht="12.65" customHeight="1" x14ac:dyDescent="0.35">
      <c r="A432" s="179" t="s">
        <v>445</v>
      </c>
      <c r="B432" s="179">
        <f t="shared" si="12"/>
        <v>2110167</v>
      </c>
      <c r="C432" s="179">
        <f t="shared" si="13"/>
        <v>2110169</v>
      </c>
      <c r="D432" s="179"/>
    </row>
    <row r="433" spans="1:7" ht="12.65" customHeight="1" x14ac:dyDescent="0.35">
      <c r="A433" s="179" t="s">
        <v>6</v>
      </c>
      <c r="B433" s="179">
        <f t="shared" si="12"/>
        <v>1301781</v>
      </c>
      <c r="C433" s="179">
        <f t="shared" si="13"/>
        <v>1301782</v>
      </c>
      <c r="D433" s="179">
        <f>C217</f>
        <v>1301781.18</v>
      </c>
    </row>
    <row r="434" spans="1:7" ht="12.65" customHeight="1" x14ac:dyDescent="0.35">
      <c r="A434" s="179" t="s">
        <v>474</v>
      </c>
      <c r="B434" s="179">
        <f t="shared" si="12"/>
        <v>384460</v>
      </c>
      <c r="C434" s="179">
        <f t="shared" si="13"/>
        <v>384459</v>
      </c>
      <c r="D434" s="179">
        <f>D177</f>
        <v>384459.6</v>
      </c>
    </row>
    <row r="435" spans="1:7" ht="12.65" customHeight="1" x14ac:dyDescent="0.35">
      <c r="A435" s="179" t="s">
        <v>447</v>
      </c>
      <c r="B435" s="179">
        <f t="shared" si="12"/>
        <v>458355</v>
      </c>
      <c r="C435" s="179"/>
      <c r="D435" s="179">
        <f>D181</f>
        <v>458355.27</v>
      </c>
    </row>
    <row r="436" spans="1:7" ht="12.65" customHeight="1" x14ac:dyDescent="0.35">
      <c r="A436" s="179" t="s">
        <v>475</v>
      </c>
      <c r="B436" s="179">
        <f t="shared" si="12"/>
        <v>190222.1</v>
      </c>
      <c r="C436" s="179"/>
      <c r="D436" s="179">
        <f>D186</f>
        <v>190222</v>
      </c>
    </row>
    <row r="437" spans="1:7" ht="12.65" customHeight="1" x14ac:dyDescent="0.35">
      <c r="A437" s="194" t="s">
        <v>449</v>
      </c>
      <c r="B437" s="194">
        <f t="shared" si="12"/>
        <v>312018</v>
      </c>
      <c r="C437" s="194"/>
      <c r="D437" s="194">
        <f>D190</f>
        <v>312018.42</v>
      </c>
    </row>
    <row r="438" spans="1:7" ht="12.65" customHeight="1" x14ac:dyDescent="0.35">
      <c r="A438" s="194" t="s">
        <v>476</v>
      </c>
      <c r="B438" s="194">
        <f>C386+C387+C388</f>
        <v>960595.1</v>
      </c>
      <c r="C438" s="194">
        <f>CD69</f>
        <v>942103.96999999986</v>
      </c>
      <c r="D438" s="194">
        <f>D181+D186+D190</f>
        <v>960595.69</v>
      </c>
    </row>
    <row r="439" spans="1:7" ht="12.65" customHeight="1" x14ac:dyDescent="0.35">
      <c r="A439" s="179" t="s">
        <v>451</v>
      </c>
      <c r="B439" s="194">
        <f>C389</f>
        <v>222146.9</v>
      </c>
      <c r="C439" s="194">
        <f>SUM(C69:CC69)</f>
        <v>240642</v>
      </c>
      <c r="D439" s="179"/>
    </row>
    <row r="440" spans="1:7" ht="12.65" customHeight="1" x14ac:dyDescent="0.35">
      <c r="A440" s="179" t="s">
        <v>477</v>
      </c>
      <c r="B440" s="194">
        <f>B438+B439</f>
        <v>1182742</v>
      </c>
      <c r="C440" s="194">
        <f>CE69</f>
        <v>1182745.9699999997</v>
      </c>
      <c r="D440" s="179"/>
    </row>
    <row r="441" spans="1:7" ht="12.65" customHeight="1" x14ac:dyDescent="0.35">
      <c r="A441" s="179" t="s">
        <v>478</v>
      </c>
      <c r="B441" s="179">
        <f>D390</f>
        <v>32960058</v>
      </c>
      <c r="C441" s="179">
        <f>SUM(C427:C437)+C440</f>
        <v>32960066.969999999</v>
      </c>
      <c r="D441" s="179"/>
    </row>
    <row r="442" spans="1:7" ht="12.65" customHeight="1" x14ac:dyDescent="0.35">
      <c r="A442" s="206"/>
      <c r="B442" s="206"/>
      <c r="C442" s="206"/>
      <c r="D442" s="206"/>
      <c r="F442" s="206"/>
      <c r="G442" s="206"/>
    </row>
    <row r="443" spans="1:7" ht="12.65" customHeight="1" x14ac:dyDescent="0.35">
      <c r="A443" s="179" t="s">
        <v>479</v>
      </c>
      <c r="B443" s="181" t="s">
        <v>480</v>
      </c>
      <c r="C443" s="181" t="s">
        <v>471</v>
      </c>
      <c r="D443" s="179"/>
    </row>
    <row r="444" spans="1:7" ht="12.65" customHeight="1" x14ac:dyDescent="0.35">
      <c r="A444" s="179" t="s">
        <v>1257</v>
      </c>
      <c r="B444" s="179">
        <f>D221</f>
        <v>712101</v>
      </c>
      <c r="C444" s="179">
        <f>C363</f>
        <v>712101</v>
      </c>
      <c r="D444" s="179"/>
    </row>
    <row r="445" spans="1:7" ht="12.65" customHeight="1" x14ac:dyDescent="0.35">
      <c r="A445" s="179" t="s">
        <v>343</v>
      </c>
      <c r="B445" s="179">
        <f>D229</f>
        <v>32297576</v>
      </c>
      <c r="C445" s="179">
        <f>C364</f>
        <v>32297576.809999999</v>
      </c>
      <c r="D445" s="179"/>
    </row>
    <row r="446" spans="1:7" ht="12.65" customHeight="1" x14ac:dyDescent="0.35">
      <c r="A446" s="179" t="s">
        <v>351</v>
      </c>
      <c r="B446" s="179">
        <f>D236</f>
        <v>920102</v>
      </c>
      <c r="C446" s="179">
        <f>C365</f>
        <v>920102</v>
      </c>
      <c r="D446" s="179"/>
    </row>
    <row r="447" spans="1:7" ht="12.65" customHeight="1" x14ac:dyDescent="0.35">
      <c r="A447" s="179" t="s">
        <v>356</v>
      </c>
      <c r="B447" s="179">
        <f>D240</f>
        <v>831606</v>
      </c>
      <c r="C447" s="179">
        <f>C366</f>
        <v>831605</v>
      </c>
      <c r="D447" s="179"/>
    </row>
    <row r="448" spans="1:7" ht="12.65" customHeight="1" x14ac:dyDescent="0.35">
      <c r="A448" s="179" t="s">
        <v>358</v>
      </c>
      <c r="B448" s="179">
        <f>D242</f>
        <v>34761385</v>
      </c>
      <c r="C448" s="179">
        <f>D367</f>
        <v>34761384.810000002</v>
      </c>
      <c r="D448" s="179"/>
    </row>
    <row r="449" spans="1:7" ht="12.65" customHeight="1" x14ac:dyDescent="0.35">
      <c r="A449" s="206"/>
      <c r="B449" s="206"/>
      <c r="C449" s="206"/>
      <c r="D449" s="206"/>
      <c r="F449" s="206"/>
      <c r="G449" s="206"/>
    </row>
    <row r="450" spans="1:7" ht="12.65" customHeight="1" x14ac:dyDescent="0.3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5" customHeight="1" x14ac:dyDescent="0.35">
      <c r="B451" s="181" t="s">
        <v>483</v>
      </c>
    </row>
    <row r="452" spans="1:7" ht="12.65" customHeight="1" x14ac:dyDescent="0.35">
      <c r="B452" s="181" t="s">
        <v>472</v>
      </c>
    </row>
    <row r="453" spans="1:7" ht="12.65" customHeight="1" x14ac:dyDescent="0.35">
      <c r="A453" s="199" t="s">
        <v>484</v>
      </c>
      <c r="B453" s="180">
        <f>C231</f>
        <v>578</v>
      </c>
    </row>
    <row r="454" spans="1:7" ht="12.65" customHeight="1" x14ac:dyDescent="0.35">
      <c r="A454" s="179" t="s">
        <v>168</v>
      </c>
      <c r="B454" s="179">
        <f>C233</f>
        <v>209133</v>
      </c>
      <c r="C454" s="179"/>
      <c r="D454" s="179"/>
    </row>
    <row r="455" spans="1:7" ht="12.65" customHeight="1" x14ac:dyDescent="0.35">
      <c r="A455" s="179" t="s">
        <v>131</v>
      </c>
      <c r="B455" s="179">
        <f>C234</f>
        <v>710969</v>
      </c>
      <c r="C455" s="179"/>
      <c r="D455" s="179"/>
    </row>
    <row r="456" spans="1:7" ht="12.65" customHeight="1" x14ac:dyDescent="0.35">
      <c r="A456" s="206"/>
      <c r="B456" s="206"/>
      <c r="C456" s="206"/>
      <c r="D456" s="206"/>
      <c r="F456" s="206"/>
      <c r="G456" s="206"/>
    </row>
    <row r="457" spans="1:7" ht="12.65" customHeight="1" x14ac:dyDescent="0.35">
      <c r="A457" s="179" t="s">
        <v>485</v>
      </c>
      <c r="B457" s="181" t="s">
        <v>471</v>
      </c>
      <c r="C457" s="181" t="s">
        <v>486</v>
      </c>
      <c r="D457" s="179"/>
    </row>
    <row r="458" spans="1:7" ht="12.65" customHeight="1" x14ac:dyDescent="0.35">
      <c r="A458" s="179" t="s">
        <v>487</v>
      </c>
      <c r="B458" s="194">
        <f>C370</f>
        <v>462242</v>
      </c>
      <c r="C458" s="194">
        <f>CE70</f>
        <v>462242.12</v>
      </c>
      <c r="D458" s="194"/>
    </row>
    <row r="459" spans="1:7" ht="12.65" customHeight="1" x14ac:dyDescent="0.35">
      <c r="A459" s="179" t="s">
        <v>244</v>
      </c>
      <c r="B459" s="194">
        <f>C371</f>
        <v>1039314</v>
      </c>
      <c r="C459" s="194">
        <f>CE72</f>
        <v>1039314</v>
      </c>
      <c r="D459" s="194"/>
    </row>
    <row r="460" spans="1:7" ht="12.65" customHeight="1" x14ac:dyDescent="0.35">
      <c r="A460" s="206"/>
      <c r="B460" s="206"/>
      <c r="C460" s="206"/>
      <c r="D460" s="206"/>
      <c r="F460" s="206"/>
      <c r="G460" s="206"/>
    </row>
    <row r="461" spans="1:7" ht="12.65" customHeight="1" x14ac:dyDescent="0.35">
      <c r="A461" s="179" t="s">
        <v>488</v>
      </c>
      <c r="B461" s="181"/>
      <c r="C461" s="181"/>
      <c r="D461" s="181" t="s">
        <v>1245</v>
      </c>
    </row>
    <row r="462" spans="1:7" ht="12.65" customHeight="1" x14ac:dyDescent="0.35">
      <c r="B462" s="181" t="s">
        <v>471</v>
      </c>
      <c r="C462" s="181" t="s">
        <v>486</v>
      </c>
      <c r="D462" s="181" t="s">
        <v>490</v>
      </c>
    </row>
    <row r="463" spans="1:7" ht="12.65" customHeight="1" x14ac:dyDescent="0.35">
      <c r="A463" s="179" t="s">
        <v>245</v>
      </c>
      <c r="B463" s="194">
        <f>C359</f>
        <v>13404848</v>
      </c>
      <c r="C463" s="194">
        <f>CE73</f>
        <v>13404850</v>
      </c>
      <c r="D463" s="194">
        <f>E141+E147+E153</f>
        <v>13778007.459999999</v>
      </c>
    </row>
    <row r="464" spans="1:7" ht="12.65" customHeight="1" x14ac:dyDescent="0.35">
      <c r="A464" s="179" t="s">
        <v>246</v>
      </c>
      <c r="B464" s="194">
        <f>C360</f>
        <v>52221500</v>
      </c>
      <c r="C464" s="194">
        <f>CE74</f>
        <v>52221500</v>
      </c>
      <c r="D464" s="194">
        <f>E142+E148+E154</f>
        <v>51848328.280000001</v>
      </c>
    </row>
    <row r="465" spans="1:7" ht="12.65" customHeight="1" x14ac:dyDescent="0.35">
      <c r="A465" s="179" t="s">
        <v>247</v>
      </c>
      <c r="B465" s="194">
        <f>D361</f>
        <v>65626348</v>
      </c>
      <c r="C465" s="194">
        <f>CE75</f>
        <v>65626350</v>
      </c>
      <c r="D465" s="194">
        <f>D463+D464</f>
        <v>65626335.740000002</v>
      </c>
    </row>
    <row r="466" spans="1:7" ht="12.65" customHeight="1" x14ac:dyDescent="0.35">
      <c r="A466" s="206"/>
      <c r="B466" s="206"/>
      <c r="C466" s="206"/>
      <c r="D466" s="206"/>
      <c r="F466" s="206"/>
      <c r="G466" s="206"/>
    </row>
    <row r="467" spans="1:7" ht="12.65" customHeight="1" x14ac:dyDescent="0.35">
      <c r="A467" s="179" t="s">
        <v>491</v>
      </c>
      <c r="B467" s="181" t="s">
        <v>492</v>
      </c>
      <c r="C467" s="181" t="s">
        <v>493</v>
      </c>
      <c r="D467" s="179"/>
    </row>
    <row r="468" spans="1:7" ht="12.65" customHeight="1" x14ac:dyDescent="0.35">
      <c r="A468" s="179" t="s">
        <v>332</v>
      </c>
      <c r="B468" s="179">
        <f t="shared" ref="B468:B475" si="14">C267</f>
        <v>146305.63</v>
      </c>
      <c r="C468" s="179">
        <f>E195</f>
        <v>146306</v>
      </c>
      <c r="D468" s="179"/>
    </row>
    <row r="469" spans="1:7" ht="12.65" customHeight="1" x14ac:dyDescent="0.35">
      <c r="A469" s="179" t="s">
        <v>333</v>
      </c>
      <c r="B469" s="179">
        <f t="shared" si="14"/>
        <v>1128015.8799999999</v>
      </c>
      <c r="C469" s="179">
        <f>E196</f>
        <v>1128015.46</v>
      </c>
      <c r="D469" s="179"/>
    </row>
    <row r="470" spans="1:7" ht="12.65" customHeight="1" x14ac:dyDescent="0.35">
      <c r="A470" s="179" t="s">
        <v>334</v>
      </c>
      <c r="B470" s="179">
        <f t="shared" si="14"/>
        <v>7901929.5300000003</v>
      </c>
      <c r="C470" s="179">
        <f>E197</f>
        <v>7901929.4799999995</v>
      </c>
      <c r="D470" s="179"/>
    </row>
    <row r="471" spans="1:7" ht="12.65" customHeight="1" x14ac:dyDescent="0.35">
      <c r="A471" s="179" t="s">
        <v>494</v>
      </c>
      <c r="B471" s="179">
        <f t="shared" si="14"/>
        <v>5863312.0899999999</v>
      </c>
      <c r="C471" s="179">
        <f>E198</f>
        <v>5863311.7000000002</v>
      </c>
      <c r="D471" s="179"/>
    </row>
    <row r="472" spans="1:7" ht="12.65" customHeight="1" x14ac:dyDescent="0.35">
      <c r="A472" s="179" t="s">
        <v>377</v>
      </c>
      <c r="B472" s="179">
        <f t="shared" si="14"/>
        <v>324083.28000000003</v>
      </c>
      <c r="C472" s="179">
        <f>E199</f>
        <v>324083.27</v>
      </c>
      <c r="D472" s="179"/>
    </row>
    <row r="473" spans="1:7" ht="12.65" customHeight="1" x14ac:dyDescent="0.35">
      <c r="A473" s="179" t="s">
        <v>495</v>
      </c>
      <c r="B473" s="179">
        <f t="shared" si="14"/>
        <v>8211260.1699999999</v>
      </c>
      <c r="C473" s="179">
        <f>SUM(E200:E201)</f>
        <v>8211260.3799999999</v>
      </c>
      <c r="D473" s="179"/>
    </row>
    <row r="474" spans="1:7" ht="12.65" customHeight="1" x14ac:dyDescent="0.3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5" customHeight="1" x14ac:dyDescent="0.35">
      <c r="A475" s="179" t="s">
        <v>340</v>
      </c>
      <c r="B475" s="179">
        <f t="shared" si="14"/>
        <v>723716.01</v>
      </c>
      <c r="C475" s="179">
        <f>E203</f>
        <v>723716.21</v>
      </c>
      <c r="D475" s="179"/>
    </row>
    <row r="476" spans="1:7" ht="12.65" customHeight="1" x14ac:dyDescent="0.35">
      <c r="A476" s="179" t="s">
        <v>203</v>
      </c>
      <c r="B476" s="179">
        <f>D275</f>
        <v>24298622.59</v>
      </c>
      <c r="C476" s="179">
        <f>E204</f>
        <v>24298622.5</v>
      </c>
      <c r="D476" s="179"/>
    </row>
    <row r="477" spans="1:7" ht="12.65" customHeight="1" x14ac:dyDescent="0.35">
      <c r="A477" s="179"/>
      <c r="B477" s="179"/>
      <c r="C477" s="179"/>
      <c r="D477" s="179"/>
    </row>
    <row r="478" spans="1:7" ht="12.65" customHeight="1" x14ac:dyDescent="0.35">
      <c r="A478" s="179" t="s">
        <v>496</v>
      </c>
      <c r="B478" s="179">
        <f>C276</f>
        <v>14408803</v>
      </c>
      <c r="C478" s="179">
        <f>E217</f>
        <v>14408803.620000001</v>
      </c>
      <c r="D478" s="179"/>
    </row>
    <row r="480" spans="1:7" ht="12.65" customHeight="1" x14ac:dyDescent="0.35">
      <c r="A480" s="180" t="s">
        <v>497</v>
      </c>
    </row>
    <row r="481" spans="1:12" ht="12.65" customHeight="1" x14ac:dyDescent="0.35">
      <c r="A481" s="180" t="s">
        <v>498</v>
      </c>
      <c r="C481" s="180">
        <f>D341</f>
        <v>19781893.82</v>
      </c>
    </row>
    <row r="482" spans="1:12" ht="12.65" customHeight="1" x14ac:dyDescent="0.35">
      <c r="A482" s="180" t="s">
        <v>499</v>
      </c>
      <c r="C482" s="180">
        <f>D339</f>
        <v>19781894</v>
      </c>
    </row>
    <row r="485" spans="1:12" ht="12.65" customHeight="1" x14ac:dyDescent="0.35">
      <c r="A485" s="199" t="s">
        <v>500</v>
      </c>
    </row>
    <row r="486" spans="1:12" ht="12.65" customHeight="1" x14ac:dyDescent="0.35">
      <c r="A486" s="199" t="s">
        <v>501</v>
      </c>
    </row>
    <row r="487" spans="1:12" ht="12.65" customHeight="1" x14ac:dyDescent="0.35">
      <c r="A487" s="199" t="s">
        <v>502</v>
      </c>
    </row>
    <row r="488" spans="1:12" ht="12.65" customHeight="1" x14ac:dyDescent="0.35">
      <c r="A488" s="199"/>
    </row>
    <row r="489" spans="1:12" ht="12.65" customHeight="1" x14ac:dyDescent="0.35">
      <c r="A489" s="198" t="s">
        <v>503</v>
      </c>
    </row>
    <row r="490" spans="1:12" ht="12.65" customHeight="1" x14ac:dyDescent="0.35">
      <c r="A490" s="199" t="s">
        <v>504</v>
      </c>
    </row>
    <row r="491" spans="1:12" ht="12.65" customHeight="1" x14ac:dyDescent="0.35">
      <c r="A491" s="199"/>
    </row>
    <row r="493" spans="1:12" ht="12.65" customHeight="1" x14ac:dyDescent="0.35">
      <c r="A493" s="180" t="str">
        <f>C83</f>
        <v>147</v>
      </c>
      <c r="B493" s="260" t="s">
        <v>1279</v>
      </c>
      <c r="C493" s="260" t="str">
        <f>RIGHT(C82,4)</f>
        <v>2018</v>
      </c>
      <c r="D493" s="260" t="s">
        <v>1279</v>
      </c>
      <c r="E493" s="260" t="str">
        <f>RIGHT(C82,4)</f>
        <v>2018</v>
      </c>
      <c r="F493" s="260" t="s">
        <v>1279</v>
      </c>
      <c r="G493" s="260" t="str">
        <f>RIGHT(C82,4)</f>
        <v>2018</v>
      </c>
      <c r="H493" s="260"/>
      <c r="K493" s="260"/>
      <c r="L493" s="260"/>
    </row>
    <row r="494" spans="1:12" ht="12.65" customHeight="1" x14ac:dyDescent="0.3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5" customHeight="1" x14ac:dyDescent="0.3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5" customHeight="1" x14ac:dyDescent="0.35">
      <c r="A496" s="180" t="s">
        <v>512</v>
      </c>
      <c r="B496" s="239">
        <v>21593</v>
      </c>
      <c r="C496" s="239">
        <f>C71</f>
        <v>0</v>
      </c>
      <c r="D496" s="239"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5" customHeight="1" x14ac:dyDescent="0.3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5" customHeight="1" x14ac:dyDescent="0.35">
      <c r="A498" s="180" t="s">
        <v>514</v>
      </c>
      <c r="B498" s="239">
        <v>3358147.02</v>
      </c>
      <c r="C498" s="239">
        <f>E71</f>
        <v>3378392.2500000005</v>
      </c>
      <c r="D498" s="239">
        <v>2072</v>
      </c>
      <c r="E498" s="180">
        <f>E59</f>
        <v>1725</v>
      </c>
      <c r="F498" s="262">
        <f t="shared" si="15"/>
        <v>1620.7273262548263</v>
      </c>
      <c r="G498" s="262">
        <f t="shared" si="15"/>
        <v>1958.4882608695655</v>
      </c>
      <c r="H498" s="264" t="str">
        <f t="shared" si="16"/>
        <v/>
      </c>
      <c r="I498" s="266"/>
      <c r="K498" s="260"/>
      <c r="L498" s="260"/>
    </row>
    <row r="499" spans="1:12" ht="12.65" customHeight="1" x14ac:dyDescent="0.3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5" customHeight="1" x14ac:dyDescent="0.3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5" customHeight="1" x14ac:dyDescent="0.3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5" customHeight="1" x14ac:dyDescent="0.3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5" customHeight="1" x14ac:dyDescent="0.35">
      <c r="A503" s="180" t="s">
        <v>519</v>
      </c>
      <c r="B503" s="239">
        <v>1116</v>
      </c>
      <c r="C503" s="239">
        <f>J71</f>
        <v>397</v>
      </c>
      <c r="D503" s="239">
        <v>373</v>
      </c>
      <c r="E503" s="180">
        <f>J59</f>
        <v>387</v>
      </c>
      <c r="F503" s="262">
        <f t="shared" si="15"/>
        <v>2.991957104557641</v>
      </c>
      <c r="G503" s="262">
        <f t="shared" si="15"/>
        <v>1.0258397932816536</v>
      </c>
      <c r="H503" s="264">
        <f t="shared" si="16"/>
        <v>-0.65713419095514625</v>
      </c>
      <c r="I503" s="266" t="s">
        <v>1278</v>
      </c>
      <c r="K503" s="260"/>
      <c r="L503" s="260"/>
    </row>
    <row r="504" spans="1:12" ht="12.65" customHeight="1" x14ac:dyDescent="0.3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5" customHeight="1" x14ac:dyDescent="0.35">
      <c r="A505" s="180" t="s">
        <v>521</v>
      </c>
      <c r="B505" s="239">
        <v>50161</v>
      </c>
      <c r="C505" s="239">
        <f>L71</f>
        <v>77636.75</v>
      </c>
      <c r="D505" s="239">
        <v>41</v>
      </c>
      <c r="E505" s="180">
        <f>L59</f>
        <v>49</v>
      </c>
      <c r="F505" s="262">
        <f t="shared" si="15"/>
        <v>1223.439024390244</v>
      </c>
      <c r="G505" s="262">
        <f t="shared" si="15"/>
        <v>1584.4234693877552</v>
      </c>
      <c r="H505" s="264">
        <f t="shared" si="16"/>
        <v>0.29505716084005429</v>
      </c>
      <c r="I505" s="266"/>
      <c r="K505" s="260"/>
      <c r="L505" s="260"/>
    </row>
    <row r="506" spans="1:12" ht="12.65" customHeight="1" x14ac:dyDescent="0.3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5" customHeight="1" x14ac:dyDescent="0.3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5" customHeight="1" x14ac:dyDescent="0.35">
      <c r="A508" s="180" t="s">
        <v>524</v>
      </c>
      <c r="B508" s="239">
        <v>1150827.3899999999</v>
      </c>
      <c r="C508" s="239">
        <f>O71</f>
        <v>1298693</v>
      </c>
      <c r="D508" s="239">
        <v>229</v>
      </c>
      <c r="E508" s="180">
        <f>O59</f>
        <v>216</v>
      </c>
      <c r="F508" s="262">
        <f t="shared" si="15"/>
        <v>5025.4471179039301</v>
      </c>
      <c r="G508" s="262">
        <f t="shared" si="15"/>
        <v>6012.4675925925922</v>
      </c>
      <c r="H508" s="264" t="str">
        <f t="shared" si="16"/>
        <v/>
      </c>
      <c r="I508" s="266"/>
      <c r="K508" s="260"/>
      <c r="L508" s="260"/>
    </row>
    <row r="509" spans="1:12" ht="12.65" customHeight="1" x14ac:dyDescent="0.35">
      <c r="A509" s="180" t="s">
        <v>525</v>
      </c>
      <c r="B509" s="239">
        <v>1401020.66</v>
      </c>
      <c r="C509" s="239">
        <f>P71</f>
        <v>1512109</v>
      </c>
      <c r="D509" s="239">
        <v>122028</v>
      </c>
      <c r="E509" s="180">
        <f>P59</f>
        <v>116968</v>
      </c>
      <c r="F509" s="262">
        <f t="shared" si="15"/>
        <v>11.481140885698364</v>
      </c>
      <c r="G509" s="262">
        <f t="shared" si="15"/>
        <v>12.927544285616579</v>
      </c>
      <c r="H509" s="264" t="str">
        <f t="shared" si="16"/>
        <v/>
      </c>
      <c r="I509" s="266"/>
      <c r="K509" s="260"/>
      <c r="L509" s="260"/>
    </row>
    <row r="510" spans="1:12" ht="12.65" customHeight="1" x14ac:dyDescent="0.35">
      <c r="A510" s="180" t="s">
        <v>526</v>
      </c>
      <c r="B510" s="239">
        <v>560044</v>
      </c>
      <c r="C510" s="239">
        <f>Q71</f>
        <v>608889</v>
      </c>
      <c r="D510" s="239">
        <v>120673</v>
      </c>
      <c r="E510" s="180">
        <f>Q59</f>
        <v>125899</v>
      </c>
      <c r="F510" s="262">
        <f t="shared" si="15"/>
        <v>4.6410050301227281</v>
      </c>
      <c r="G510" s="262">
        <f t="shared" si="15"/>
        <v>4.8363291209620414</v>
      </c>
      <c r="H510" s="264" t="str">
        <f t="shared" si="16"/>
        <v/>
      </c>
      <c r="I510" s="266"/>
      <c r="K510" s="260"/>
      <c r="L510" s="260"/>
    </row>
    <row r="511" spans="1:12" ht="12.65" customHeight="1" x14ac:dyDescent="0.35">
      <c r="A511" s="180" t="s">
        <v>527</v>
      </c>
      <c r="B511" s="239">
        <v>805335</v>
      </c>
      <c r="C511" s="239">
        <f>R71</f>
        <v>834553</v>
      </c>
      <c r="D511" s="239">
        <v>121959</v>
      </c>
      <c r="E511" s="180">
        <f>R59</f>
        <v>125724</v>
      </c>
      <c r="F511" s="262">
        <f t="shared" si="15"/>
        <v>6.6033257078198409</v>
      </c>
      <c r="G511" s="262">
        <f t="shared" si="15"/>
        <v>6.6379768381534152</v>
      </c>
      <c r="H511" s="264" t="str">
        <f t="shared" si="16"/>
        <v/>
      </c>
      <c r="I511" s="266"/>
      <c r="K511" s="260"/>
      <c r="L511" s="260"/>
    </row>
    <row r="512" spans="1:12" ht="12.65" customHeight="1" x14ac:dyDescent="0.35">
      <c r="A512" s="180" t="s">
        <v>528</v>
      </c>
      <c r="B512" s="239">
        <v>2046600.93</v>
      </c>
      <c r="C512" s="239">
        <f>S71</f>
        <v>2247146.4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5" customHeight="1" x14ac:dyDescent="0.35">
      <c r="A513" s="180" t="s">
        <v>1246</v>
      </c>
      <c r="B513" s="239"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5" customHeight="1" x14ac:dyDescent="0.35">
      <c r="A514" s="180" t="s">
        <v>530</v>
      </c>
      <c r="B514" s="239">
        <v>1317790.69</v>
      </c>
      <c r="C514" s="239">
        <f>U71</f>
        <v>1398384</v>
      </c>
      <c r="D514" s="239">
        <v>69668</v>
      </c>
      <c r="E514" s="180">
        <f>U59</f>
        <v>73713</v>
      </c>
      <c r="F514" s="262">
        <f t="shared" si="17"/>
        <v>18.915293822127804</v>
      </c>
      <c r="G514" s="262">
        <f t="shared" si="17"/>
        <v>18.97065646493834</v>
      </c>
      <c r="H514" s="264" t="str">
        <f t="shared" si="16"/>
        <v/>
      </c>
      <c r="I514" s="266"/>
      <c r="K514" s="260"/>
      <c r="L514" s="260"/>
    </row>
    <row r="515" spans="1:12" ht="12.65" customHeight="1" x14ac:dyDescent="0.35">
      <c r="A515" s="180" t="s">
        <v>531</v>
      </c>
      <c r="B515" s="239">
        <v>19368</v>
      </c>
      <c r="C515" s="239">
        <f>V71</f>
        <v>1296</v>
      </c>
      <c r="D515" s="239">
        <v>0</v>
      </c>
      <c r="E515" s="180">
        <f>V59</f>
        <v>2350</v>
      </c>
      <c r="F515" s="262" t="str">
        <f t="shared" si="17"/>
        <v/>
      </c>
      <c r="G515" s="262">
        <f t="shared" si="17"/>
        <v>0.5514893617021277</v>
      </c>
      <c r="H515" s="264" t="str">
        <f t="shared" si="16"/>
        <v/>
      </c>
      <c r="I515" s="266"/>
      <c r="K515" s="260"/>
      <c r="L515" s="260"/>
    </row>
    <row r="516" spans="1:12" ht="12.65" customHeight="1" x14ac:dyDescent="0.35">
      <c r="A516" s="180" t="s">
        <v>532</v>
      </c>
      <c r="B516" s="239">
        <v>0</v>
      </c>
      <c r="C516" s="239">
        <f>W71</f>
        <v>0</v>
      </c>
      <c r="D516" s="239"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5" customHeight="1" x14ac:dyDescent="0.35">
      <c r="A517" s="180" t="s">
        <v>533</v>
      </c>
      <c r="B517" s="239">
        <v>0</v>
      </c>
      <c r="C517" s="239">
        <f>X71</f>
        <v>0</v>
      </c>
      <c r="D517" s="239"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5" customHeight="1" x14ac:dyDescent="0.35">
      <c r="A518" s="180" t="s">
        <v>534</v>
      </c>
      <c r="B518" s="239">
        <v>2944709.8</v>
      </c>
      <c r="C518" s="239">
        <f>Y71</f>
        <v>3026966</v>
      </c>
      <c r="D518" s="239"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5" customHeight="1" x14ac:dyDescent="0.3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5" customHeight="1" x14ac:dyDescent="0.35">
      <c r="A520" s="180" t="s">
        <v>536</v>
      </c>
      <c r="B520" s="239">
        <v>0</v>
      </c>
      <c r="C520" s="239">
        <f>AA71</f>
        <v>0</v>
      </c>
      <c r="D520" s="239"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5" customHeight="1" x14ac:dyDescent="0.35">
      <c r="A521" s="180" t="s">
        <v>537</v>
      </c>
      <c r="B521" s="239">
        <v>738886.80999999994</v>
      </c>
      <c r="C521" s="239">
        <f>AB71</f>
        <v>783971.66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5" customHeight="1" x14ac:dyDescent="0.35">
      <c r="A522" s="180" t="s">
        <v>538</v>
      </c>
      <c r="B522" s="239">
        <v>334360.28000000003</v>
      </c>
      <c r="C522" s="239">
        <f>AC71</f>
        <v>350796</v>
      </c>
      <c r="D522" s="239">
        <v>1577</v>
      </c>
      <c r="E522" s="180">
        <f>AC59</f>
        <v>1432</v>
      </c>
      <c r="F522" s="262">
        <f t="shared" si="17"/>
        <v>212.02300570703869</v>
      </c>
      <c r="G522" s="262">
        <f t="shared" si="17"/>
        <v>244.96927374301677</v>
      </c>
      <c r="H522" s="264" t="str">
        <f t="shared" si="16"/>
        <v/>
      </c>
      <c r="I522" s="266"/>
      <c r="K522" s="260"/>
      <c r="L522" s="260"/>
    </row>
    <row r="523" spans="1:12" ht="12.65" customHeight="1" x14ac:dyDescent="0.3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5" customHeight="1" x14ac:dyDescent="0.35">
      <c r="A524" s="180" t="s">
        <v>540</v>
      </c>
      <c r="B524" s="239">
        <v>532014.65999999992</v>
      </c>
      <c r="C524" s="239">
        <f>AE71</f>
        <v>610603.05000000005</v>
      </c>
      <c r="D524" s="239">
        <v>10042</v>
      </c>
      <c r="E524" s="180">
        <f>AE59</f>
        <v>12540</v>
      </c>
      <c r="F524" s="262">
        <f t="shared" si="17"/>
        <v>52.978954391555462</v>
      </c>
      <c r="G524" s="262">
        <f t="shared" si="17"/>
        <v>48.692428229665076</v>
      </c>
      <c r="H524" s="264" t="str">
        <f t="shared" si="16"/>
        <v/>
      </c>
      <c r="I524" s="266"/>
      <c r="K524" s="260"/>
      <c r="L524" s="260"/>
    </row>
    <row r="525" spans="1:12" ht="12.65" customHeight="1" x14ac:dyDescent="0.3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5" customHeight="1" x14ac:dyDescent="0.35">
      <c r="A526" s="180" t="s">
        <v>542</v>
      </c>
      <c r="B526" s="239">
        <v>3800215.78</v>
      </c>
      <c r="C526" s="239">
        <f>AG71</f>
        <v>3926256</v>
      </c>
      <c r="D526" s="239">
        <v>8923</v>
      </c>
      <c r="E526" s="180">
        <f>AG59</f>
        <v>8824</v>
      </c>
      <c r="F526" s="262">
        <f t="shared" si="17"/>
        <v>425.88992267174717</v>
      </c>
      <c r="G526" s="262">
        <f t="shared" si="17"/>
        <v>444.95194922937441</v>
      </c>
      <c r="H526" s="264" t="str">
        <f t="shared" si="16"/>
        <v/>
      </c>
      <c r="I526" s="266"/>
      <c r="K526" s="260"/>
      <c r="L526" s="260"/>
    </row>
    <row r="527" spans="1:12" ht="12.65" customHeight="1" x14ac:dyDescent="0.3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5" customHeight="1" x14ac:dyDescent="0.3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5" customHeight="1" x14ac:dyDescent="0.35">
      <c r="A529" s="180" t="s">
        <v>545</v>
      </c>
      <c r="B529" s="239">
        <v>0</v>
      </c>
      <c r="C529" s="239">
        <f>AJ71</f>
        <v>0</v>
      </c>
      <c r="D529" s="239"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5" customHeight="1" x14ac:dyDescent="0.35">
      <c r="A530" s="180" t="s">
        <v>546</v>
      </c>
      <c r="B530" s="239">
        <v>0</v>
      </c>
      <c r="C530" s="239">
        <f>AK71</f>
        <v>0</v>
      </c>
      <c r="D530" s="239"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5" customHeight="1" x14ac:dyDescent="0.35">
      <c r="A531" s="180" t="s">
        <v>547</v>
      </c>
      <c r="B531" s="239">
        <v>0</v>
      </c>
      <c r="C531" s="239">
        <f>AL71</f>
        <v>0</v>
      </c>
      <c r="D531" s="239"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5" customHeight="1" x14ac:dyDescent="0.3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5" customHeight="1" x14ac:dyDescent="0.3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5" customHeight="1" x14ac:dyDescent="0.3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5" customHeight="1" x14ac:dyDescent="0.35">
      <c r="A535" s="180" t="s">
        <v>550</v>
      </c>
      <c r="B535" s="239">
        <v>5209362.34</v>
      </c>
      <c r="C535" s="239">
        <f>AP71</f>
        <v>5276360</v>
      </c>
      <c r="D535" s="239">
        <v>17195</v>
      </c>
      <c r="E535" s="180">
        <f>AP59</f>
        <v>19884</v>
      </c>
      <c r="F535" s="262">
        <f t="shared" si="18"/>
        <v>302.95797266647281</v>
      </c>
      <c r="G535" s="262">
        <f t="shared" si="18"/>
        <v>265.35707101186881</v>
      </c>
      <c r="H535" s="264" t="str">
        <f t="shared" si="16"/>
        <v/>
      </c>
      <c r="I535" s="266"/>
      <c r="K535" s="260"/>
      <c r="L535" s="260"/>
    </row>
    <row r="536" spans="1:12" ht="12.65" customHeight="1" x14ac:dyDescent="0.3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5" customHeight="1" x14ac:dyDescent="0.3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5" customHeight="1" x14ac:dyDescent="0.3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5" customHeight="1" x14ac:dyDescent="0.3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5" customHeight="1" x14ac:dyDescent="0.3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5" customHeight="1" x14ac:dyDescent="0.35">
      <c r="A541" s="180" t="s">
        <v>556</v>
      </c>
      <c r="B541" s="239"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5" customHeight="1" x14ac:dyDescent="0.3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5" customHeight="1" x14ac:dyDescent="0.3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5" customHeight="1" x14ac:dyDescent="0.35">
      <c r="A544" s="180" t="s">
        <v>558</v>
      </c>
      <c r="B544" s="239">
        <v>366754.43000000005</v>
      </c>
      <c r="C544" s="239">
        <f>AY71</f>
        <v>378086.17</v>
      </c>
      <c r="D544" s="239">
        <v>8797</v>
      </c>
      <c r="E544" s="180">
        <f>AY59</f>
        <v>8233</v>
      </c>
      <c r="F544" s="262">
        <f t="shared" ref="F544:G550" si="19">IF(B544=0,"",IF(D544=0,"",B544/D544))</f>
        <v>41.69085256337388</v>
      </c>
      <c r="G544" s="262">
        <f t="shared" si="19"/>
        <v>45.923256407141984</v>
      </c>
      <c r="H544" s="264" t="str">
        <f t="shared" si="16"/>
        <v/>
      </c>
      <c r="I544" s="266"/>
      <c r="K544" s="260"/>
      <c r="L544" s="260"/>
    </row>
    <row r="545" spans="1:13" ht="12.65" customHeight="1" x14ac:dyDescent="0.35">
      <c r="A545" s="180" t="s">
        <v>559</v>
      </c>
      <c r="B545" s="239">
        <v>1490</v>
      </c>
      <c r="C545" s="239">
        <f>AZ71</f>
        <v>0</v>
      </c>
      <c r="D545" s="239"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5" customHeight="1" x14ac:dyDescent="0.35">
      <c r="A546" s="180" t="s">
        <v>560</v>
      </c>
      <c r="B546" s="239">
        <v>119240</v>
      </c>
      <c r="C546" s="239">
        <f>BA71</f>
        <v>133852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5" customHeight="1" x14ac:dyDescent="0.3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5" customHeight="1" x14ac:dyDescent="0.3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5" customHeight="1" x14ac:dyDescent="0.35">
      <c r="A549" s="180" t="s">
        <v>563</v>
      </c>
      <c r="B549" s="239">
        <v>127934.42</v>
      </c>
      <c r="C549" s="239">
        <f>BD71</f>
        <v>128093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5" customHeight="1" x14ac:dyDescent="0.35">
      <c r="A550" s="180" t="s">
        <v>564</v>
      </c>
      <c r="B550" s="239">
        <v>755162.77</v>
      </c>
      <c r="C550" s="239">
        <f>BE71</f>
        <v>795394</v>
      </c>
      <c r="D550" s="239">
        <v>82579</v>
      </c>
      <c r="E550" s="180">
        <f>BE59</f>
        <v>82579</v>
      </c>
      <c r="F550" s="262">
        <f t="shared" si="19"/>
        <v>9.1447313481635764</v>
      </c>
      <c r="G550" s="262">
        <f t="shared" si="19"/>
        <v>9.6319161045786466</v>
      </c>
      <c r="H550" s="264" t="str">
        <f t="shared" si="16"/>
        <v/>
      </c>
      <c r="I550" s="266"/>
      <c r="K550" s="260"/>
      <c r="L550" s="260"/>
    </row>
    <row r="551" spans="1:13" ht="12.65" customHeight="1" x14ac:dyDescent="0.35">
      <c r="A551" s="180" t="s">
        <v>565</v>
      </c>
      <c r="B551" s="239">
        <v>459884.9</v>
      </c>
      <c r="C551" s="239">
        <f>BF71</f>
        <v>476974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5" customHeight="1" x14ac:dyDescent="0.35">
      <c r="A552" s="180" t="s">
        <v>566</v>
      </c>
      <c r="B552" s="239">
        <v>119495</v>
      </c>
      <c r="C552" s="239">
        <f>BG71</f>
        <v>134078.20000000001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5" customHeight="1" x14ac:dyDescent="0.35">
      <c r="A553" s="180" t="s">
        <v>567</v>
      </c>
      <c r="B553" s="239">
        <v>507072.49</v>
      </c>
      <c r="C553" s="239">
        <f>BH71</f>
        <v>556663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5" customHeight="1" x14ac:dyDescent="0.3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5" customHeight="1" x14ac:dyDescent="0.35">
      <c r="A555" s="180" t="s">
        <v>569</v>
      </c>
      <c r="B555" s="239">
        <v>600288.06999999995</v>
      </c>
      <c r="C555" s="239">
        <f>BJ71</f>
        <v>603507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5" customHeight="1" x14ac:dyDescent="0.35">
      <c r="A556" s="180" t="s">
        <v>570</v>
      </c>
      <c r="B556" s="239">
        <v>686278.45</v>
      </c>
      <c r="C556" s="239">
        <f>BK71</f>
        <v>845453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5" customHeight="1" x14ac:dyDescent="0.35">
      <c r="A557" s="180" t="s">
        <v>571</v>
      </c>
      <c r="B557" s="239">
        <v>295740</v>
      </c>
      <c r="C557" s="239">
        <f>BL71</f>
        <v>307322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5" customHeight="1" x14ac:dyDescent="0.3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5" customHeight="1" x14ac:dyDescent="0.35">
      <c r="A559" s="180" t="s">
        <v>573</v>
      </c>
      <c r="B559" s="239">
        <v>535708.77</v>
      </c>
      <c r="C559" s="239">
        <f>BN71</f>
        <v>759900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5" customHeight="1" x14ac:dyDescent="0.35">
      <c r="A560" s="180" t="s">
        <v>574</v>
      </c>
      <c r="B560" s="239">
        <v>41233.74</v>
      </c>
      <c r="C560" s="239">
        <f>BO71</f>
        <v>42479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5" customHeight="1" x14ac:dyDescent="0.35">
      <c r="A561" s="180" t="s">
        <v>575</v>
      </c>
      <c r="B561" s="239"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5" customHeight="1" x14ac:dyDescent="0.3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5" customHeight="1" x14ac:dyDescent="0.35">
      <c r="A563" s="180" t="s">
        <v>577</v>
      </c>
      <c r="B563" s="239">
        <v>305037.49</v>
      </c>
      <c r="C563" s="239">
        <f>BR71</f>
        <v>266260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5" customHeight="1" x14ac:dyDescent="0.3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5" customHeight="1" x14ac:dyDescent="0.3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5" customHeight="1" x14ac:dyDescent="0.3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5" customHeight="1" x14ac:dyDescent="0.35">
      <c r="A567" s="180" t="s">
        <v>580</v>
      </c>
      <c r="B567" s="239">
        <v>591727.06000000006</v>
      </c>
      <c r="C567" s="239">
        <f>BV71</f>
        <v>583955.4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5" customHeight="1" x14ac:dyDescent="0.35">
      <c r="A568" s="180" t="s">
        <v>581</v>
      </c>
      <c r="B568" s="239"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5" customHeight="1" x14ac:dyDescent="0.35">
      <c r="A569" s="180" t="s">
        <v>582</v>
      </c>
      <c r="B569" s="239">
        <v>99289</v>
      </c>
      <c r="C569" s="239">
        <f>BX71</f>
        <v>94281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5" customHeight="1" x14ac:dyDescent="0.35">
      <c r="A570" s="180" t="s">
        <v>583</v>
      </c>
      <c r="B570" s="239">
        <v>260767.91</v>
      </c>
      <c r="C570" s="239">
        <f>BY71</f>
        <v>280286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5" customHeight="1" x14ac:dyDescent="0.3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5" customHeight="1" x14ac:dyDescent="0.35">
      <c r="A572" s="180" t="s">
        <v>585</v>
      </c>
      <c r="B572" s="239">
        <v>50549.73</v>
      </c>
      <c r="C572" s="239">
        <f>CA71</f>
        <v>71535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5" customHeight="1" x14ac:dyDescent="0.35">
      <c r="A573" s="180" t="s">
        <v>586</v>
      </c>
      <c r="B573" s="239"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5" customHeight="1" x14ac:dyDescent="0.35">
      <c r="A574" s="180" t="s">
        <v>587</v>
      </c>
      <c r="B574" s="239">
        <v>37528.120000000003</v>
      </c>
      <c r="C574" s="239">
        <f>CC71</f>
        <v>30696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5" customHeight="1" x14ac:dyDescent="0.35">
      <c r="A575" s="180" t="s">
        <v>588</v>
      </c>
      <c r="B575" s="239">
        <v>728871.16000000015</v>
      </c>
      <c r="C575" s="239">
        <f>CD71</f>
        <v>676560.96999999986</v>
      </c>
      <c r="D575" s="181" t="s">
        <v>529</v>
      </c>
      <c r="E575" s="181" t="s">
        <v>529</v>
      </c>
      <c r="F575" s="262"/>
      <c r="G575" s="262"/>
      <c r="H575" s="264"/>
    </row>
    <row r="576" spans="1:13" ht="12.65" customHeight="1" x14ac:dyDescent="0.35">
      <c r="M576" s="264"/>
    </row>
    <row r="577" spans="13:13" ht="12.65" customHeight="1" x14ac:dyDescent="0.35">
      <c r="M577" s="264"/>
    </row>
    <row r="578" spans="13:13" ht="12.65" customHeight="1" x14ac:dyDescent="0.35">
      <c r="M578" s="264"/>
    </row>
    <row r="612" spans="1:14" ht="12.65" customHeight="1" x14ac:dyDescent="0.35">
      <c r="A612" s="196"/>
      <c r="C612" s="181" t="s">
        <v>589</v>
      </c>
      <c r="D612" s="180">
        <f>CE76-(BE76+CD76)</f>
        <v>56179</v>
      </c>
      <c r="E612" s="180">
        <f>SUM(C624:D647)+SUM(C668:D713)</f>
        <v>30927512.184652451</v>
      </c>
      <c r="F612" s="180">
        <f>CE64-(AX64+BD64+BE64+BG64+BJ64+BN64+BP64+BQ64+CB64+CC64+CD64)</f>
        <v>4130977</v>
      </c>
      <c r="G612" s="180">
        <f>CE77-(AX77+AY77+BD77+BE77+BG77+BJ77+BN77+BP77+BQ77+CB77+CC77+CD77)</f>
        <v>8233</v>
      </c>
      <c r="H612" s="197">
        <f>CE60-(AX60+AY60+AZ60+BD60+BE60+BG60+BJ60+BN60+BO60+BP60+BQ60+BR60+CB60+CC60+CD60)</f>
        <v>179.82</v>
      </c>
      <c r="I612" s="180">
        <f>CE78-(AX78+AY78+AZ78+BD78+BE78+BF78+BG78+BJ78+BN78+BO78+BP78+BQ78+BR78+CB78+CC78+CD78)</f>
        <v>16279.890000000001</v>
      </c>
      <c r="J612" s="180">
        <f>CE79-(AX79+AY79+AZ79+BA79+BD79+BE79+BF79+BG79+BJ79+BN79+BO79+BP79+BQ79+BR79+CB79+CC79+CD79)</f>
        <v>116507</v>
      </c>
      <c r="K612" s="180">
        <f>CE75-(AW75+AX75+AY75+AZ75+BA75+BB75+BC75+BD75+BE75+BF75+BG75+BH75+BI75+BJ75+BK75+BL75+BM75+BN75+BO75+BP75+BQ75+BR75+BS75+BT75+BU75+BV75+BW75+BX75+CB75+CC75+CD75)</f>
        <v>65626350</v>
      </c>
      <c r="L612" s="197">
        <f>CE80-(AW80+AX80+AY80+AZ80+BA80+BB80+BC80+BD80+BE80+BF80+BG80+BH80+BI80+BJ80+BK80+BL80+BM80+BN80+BO80+BP80+BQ80+BR80+BS80+BT80+BU80+BV80+BW80+BX80+BY80+BZ80+CA80+CB80+CC80+CD80)</f>
        <v>45.4</v>
      </c>
    </row>
    <row r="613" spans="1:14" ht="12.65" customHeight="1" x14ac:dyDescent="0.3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5" customHeight="1" x14ac:dyDescent="0.35">
      <c r="A614" s="196">
        <v>8430</v>
      </c>
      <c r="B614" s="198" t="s">
        <v>140</v>
      </c>
      <c r="C614" s="180">
        <f>BE71</f>
        <v>795394</v>
      </c>
      <c r="N614" s="199" t="s">
        <v>600</v>
      </c>
    </row>
    <row r="615" spans="1:14" ht="12.65" customHeight="1" x14ac:dyDescent="0.35">
      <c r="A615" s="196"/>
      <c r="B615" s="198" t="s">
        <v>601</v>
      </c>
      <c r="C615" s="272">
        <f>CD69-CD70</f>
        <v>676560.96999999986</v>
      </c>
      <c r="D615" s="265">
        <f>SUM(C614:C615)</f>
        <v>1471954.9699999997</v>
      </c>
      <c r="N615" s="199" t="s">
        <v>602</v>
      </c>
    </row>
    <row r="616" spans="1:14" ht="12.65" customHeight="1" x14ac:dyDescent="0.3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5" customHeight="1" x14ac:dyDescent="0.35">
      <c r="A617" s="196">
        <v>8510</v>
      </c>
      <c r="B617" s="200" t="s">
        <v>145</v>
      </c>
      <c r="C617" s="180">
        <f>BJ71</f>
        <v>603507</v>
      </c>
      <c r="D617" s="180">
        <f>(D615/D612)*BJ76</f>
        <v>16113.713425835273</v>
      </c>
      <c r="N617" s="199" t="s">
        <v>605</v>
      </c>
    </row>
    <row r="618" spans="1:14" ht="12.65" customHeight="1" x14ac:dyDescent="0.35">
      <c r="A618" s="196">
        <v>8470</v>
      </c>
      <c r="B618" s="200" t="s">
        <v>606</v>
      </c>
      <c r="C618" s="180">
        <f>BG71</f>
        <v>134078.20000000001</v>
      </c>
      <c r="D618" s="180">
        <f>(D615/D612)*BG76</f>
        <v>7650.7387322665036</v>
      </c>
      <c r="N618" s="199" t="s">
        <v>607</v>
      </c>
    </row>
    <row r="619" spans="1:14" ht="12.65" customHeight="1" x14ac:dyDescent="0.35">
      <c r="A619" s="196">
        <v>8610</v>
      </c>
      <c r="B619" s="200" t="s">
        <v>608</v>
      </c>
      <c r="C619" s="180">
        <f>BN71</f>
        <v>759900</v>
      </c>
      <c r="D619" s="180">
        <f>(D615/D612)*BN76</f>
        <v>18367.013189448011</v>
      </c>
      <c r="N619" s="199" t="s">
        <v>609</v>
      </c>
    </row>
    <row r="620" spans="1:14" ht="12.65" customHeight="1" x14ac:dyDescent="0.35">
      <c r="A620" s="196">
        <v>8790</v>
      </c>
      <c r="B620" s="200" t="s">
        <v>610</v>
      </c>
      <c r="C620" s="180">
        <f>CC71</f>
        <v>30696</v>
      </c>
      <c r="D620" s="180">
        <f>(D615/D612)*CC76</f>
        <v>0</v>
      </c>
      <c r="N620" s="199" t="s">
        <v>611</v>
      </c>
    </row>
    <row r="621" spans="1:14" ht="12.65" customHeight="1" x14ac:dyDescent="0.3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5" customHeight="1" x14ac:dyDescent="0.3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5" customHeight="1" x14ac:dyDescent="0.3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1570312.6653475498</v>
      </c>
      <c r="N623" s="199" t="s">
        <v>617</v>
      </c>
    </row>
    <row r="624" spans="1:14" ht="12.65" customHeight="1" x14ac:dyDescent="0.35">
      <c r="A624" s="196">
        <v>8420</v>
      </c>
      <c r="B624" s="200" t="s">
        <v>139</v>
      </c>
      <c r="C624" s="180">
        <f>BD71</f>
        <v>128093</v>
      </c>
      <c r="D624" s="180">
        <f>(D615/D612)*BD76</f>
        <v>8986.9978944089416</v>
      </c>
      <c r="E624" s="180">
        <f>(E623/E612)*SUM(C624:D624)</f>
        <v>6960.0960974231293</v>
      </c>
      <c r="F624" s="180">
        <f>SUM(C624:E624)</f>
        <v>144040.09399183208</v>
      </c>
      <c r="N624" s="199" t="s">
        <v>618</v>
      </c>
    </row>
    <row r="625" spans="1:14" ht="12.65" customHeight="1" x14ac:dyDescent="0.35">
      <c r="A625" s="196">
        <v>8320</v>
      </c>
      <c r="B625" s="200" t="s">
        <v>135</v>
      </c>
      <c r="C625" s="180">
        <f>AY71</f>
        <v>378086.17</v>
      </c>
      <c r="D625" s="180">
        <f>(D615/D612)*AY76</f>
        <v>56437.298730486466</v>
      </c>
      <c r="E625" s="180">
        <f>(E623/E612)*SUM(C625:D625)</f>
        <v>22062.482823200953</v>
      </c>
      <c r="F625" s="180">
        <f>(F624/F612)*AY64</f>
        <v>5352.0729326699893</v>
      </c>
      <c r="G625" s="180">
        <f>SUM(C625:F625)</f>
        <v>461938.0244863574</v>
      </c>
      <c r="N625" s="199" t="s">
        <v>619</v>
      </c>
    </row>
    <row r="626" spans="1:14" ht="12.65" customHeight="1" x14ac:dyDescent="0.35">
      <c r="A626" s="196">
        <v>8650</v>
      </c>
      <c r="B626" s="200" t="s">
        <v>152</v>
      </c>
      <c r="C626" s="180">
        <f>BR71</f>
        <v>266260</v>
      </c>
      <c r="D626" s="180">
        <f>(D615/D612)*BR76</f>
        <v>8462.974693568769</v>
      </c>
      <c r="E626" s="180">
        <f>(E623/E612)*SUM(C626:D626)</f>
        <v>13948.776870496069</v>
      </c>
      <c r="F626" s="180">
        <f>(F624/F612)*BR64</f>
        <v>15.830202557964318</v>
      </c>
      <c r="G626" s="180">
        <f>(G625/G612)*BR77</f>
        <v>0</v>
      </c>
      <c r="N626" s="199" t="s">
        <v>620</v>
      </c>
    </row>
    <row r="627" spans="1:14" ht="12.65" customHeight="1" x14ac:dyDescent="0.35">
      <c r="A627" s="196">
        <v>8620</v>
      </c>
      <c r="B627" s="198" t="s">
        <v>621</v>
      </c>
      <c r="C627" s="180">
        <f>BO71</f>
        <v>42479</v>
      </c>
      <c r="D627" s="180">
        <f>(D615/D612)*BO76</f>
        <v>0</v>
      </c>
      <c r="E627" s="180">
        <f>(E623/E612)*SUM(C627:D627)</f>
        <v>2156.8275945713017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5" customHeight="1" x14ac:dyDescent="0.3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333323.40936119406</v>
      </c>
      <c r="N628" s="199" t="s">
        <v>623</v>
      </c>
    </row>
    <row r="629" spans="1:14" ht="12.65" customHeight="1" x14ac:dyDescent="0.35">
      <c r="A629" s="196">
        <v>8460</v>
      </c>
      <c r="B629" s="200" t="s">
        <v>141</v>
      </c>
      <c r="C629" s="180">
        <f>BF71</f>
        <v>476974</v>
      </c>
      <c r="D629" s="180">
        <f>(D615/D612)*BF76</f>
        <v>9170.4060147030013</v>
      </c>
      <c r="E629" s="180">
        <f>(E623/E612)*SUM(C629:D629)</f>
        <v>24683.482893641234</v>
      </c>
      <c r="F629" s="180">
        <f>(F624/F612)*BF64</f>
        <v>1096.2589612828153</v>
      </c>
      <c r="G629" s="180">
        <f>(G625/G612)*BF77</f>
        <v>0</v>
      </c>
      <c r="H629" s="180">
        <f>(H628/H612)*BF60</f>
        <v>16979.437380427862</v>
      </c>
      <c r="I629" s="180">
        <f>SUM(C629:H629)</f>
        <v>528903.58525005484</v>
      </c>
      <c r="N629" s="199" t="s">
        <v>624</v>
      </c>
    </row>
    <row r="630" spans="1:14" ht="12.65" customHeight="1" x14ac:dyDescent="0.35">
      <c r="A630" s="196">
        <v>8350</v>
      </c>
      <c r="B630" s="200" t="s">
        <v>625</v>
      </c>
      <c r="C630" s="180">
        <f>BA71</f>
        <v>133852</v>
      </c>
      <c r="D630" s="180">
        <f>(D615/D612)*BA76</f>
        <v>13257.786981256339</v>
      </c>
      <c r="E630" s="180">
        <f>(E623/E612)*SUM(C630:D630)</f>
        <v>7469.3483366529263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10500.821370692476</v>
      </c>
      <c r="J630" s="180">
        <f>SUM(C630:I630)</f>
        <v>165079.95668860176</v>
      </c>
      <c r="N630" s="199" t="s">
        <v>626</v>
      </c>
    </row>
    <row r="631" spans="1:14" ht="12.65" customHeight="1" x14ac:dyDescent="0.3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5" customHeight="1" x14ac:dyDescent="0.3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5" customHeight="1" x14ac:dyDescent="0.3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5" customHeight="1" x14ac:dyDescent="0.3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5" customHeight="1" x14ac:dyDescent="0.35">
      <c r="A635" s="196">
        <v>8530</v>
      </c>
      <c r="B635" s="200" t="s">
        <v>635</v>
      </c>
      <c r="C635" s="180">
        <f>BK71</f>
        <v>845453</v>
      </c>
      <c r="D635" s="180">
        <f>(D615/D612)*BK76</f>
        <v>45930.633553641033</v>
      </c>
      <c r="E635" s="180">
        <f>(E623/E612)*SUM(C635:D635)</f>
        <v>45259.088448356277</v>
      </c>
      <c r="F635" s="180">
        <f>(F624/F612)*BK64</f>
        <v>1635.4970285932079</v>
      </c>
      <c r="G635" s="180">
        <f>(G625/G612)*BK77</f>
        <v>0</v>
      </c>
      <c r="H635" s="180">
        <f>(H628/H612)*BK60</f>
        <v>22558.924991245312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5" customHeight="1" x14ac:dyDescent="0.35">
      <c r="A636" s="196">
        <v>8480</v>
      </c>
      <c r="B636" s="200" t="s">
        <v>637</v>
      </c>
      <c r="C636" s="180">
        <f>BH71</f>
        <v>556663</v>
      </c>
      <c r="D636" s="180">
        <f>(D615/D612)*BH76</f>
        <v>17083.156347389591</v>
      </c>
      <c r="E636" s="180">
        <f>(E623/E612)*SUM(C636:D636)</f>
        <v>29131.371790514611</v>
      </c>
      <c r="F636" s="180">
        <f>(F624/F612)*BH64</f>
        <v>778.29504690819726</v>
      </c>
      <c r="G636" s="180">
        <f>(G625/G612)*BH77</f>
        <v>0</v>
      </c>
      <c r="H636" s="180">
        <f>(H628/H612)*BH60</f>
        <v>5282.903551770677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5" customHeight="1" x14ac:dyDescent="0.35">
      <c r="A637" s="196">
        <v>8560</v>
      </c>
      <c r="B637" s="200" t="s">
        <v>147</v>
      </c>
      <c r="C637" s="180">
        <f>BL71</f>
        <v>307322</v>
      </c>
      <c r="D637" s="180">
        <f>(D615/D612)*BL76</f>
        <v>6602.692330586161</v>
      </c>
      <c r="E637" s="180">
        <f>(E623/E612)*SUM(C637:D637)</f>
        <v>15939.203819202759</v>
      </c>
      <c r="F637" s="180">
        <f>(F624/F612)*BL64</f>
        <v>180.40851990067705</v>
      </c>
      <c r="G637" s="180">
        <f>(G625/G612)*BL77</f>
        <v>0</v>
      </c>
      <c r="H637" s="180">
        <f>(H628/H612)*BL60</f>
        <v>8916.0582750936683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5" customHeight="1" x14ac:dyDescent="0.3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5" customHeight="1" x14ac:dyDescent="0.3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5" customHeight="1" x14ac:dyDescent="0.3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5" customHeight="1" x14ac:dyDescent="0.3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5" customHeight="1" x14ac:dyDescent="0.35">
      <c r="A642" s="196">
        <v>8690</v>
      </c>
      <c r="B642" s="200" t="s">
        <v>648</v>
      </c>
      <c r="C642" s="180">
        <f>BV71</f>
        <v>583955.4</v>
      </c>
      <c r="D642" s="180">
        <f>(D615/D612)*BV76</f>
        <v>39511.349343348928</v>
      </c>
      <c r="E642" s="180">
        <f>(E623/E612)*SUM(C642:D642)</f>
        <v>31655.883831573337</v>
      </c>
      <c r="F642" s="180">
        <f>(F624/F612)*BV64</f>
        <v>115.62324159077022</v>
      </c>
      <c r="G642" s="180">
        <f>(G625/G612)*BV77</f>
        <v>0</v>
      </c>
      <c r="H642" s="180">
        <f>(H628/H612)*BV60</f>
        <v>15162.860018766363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5" customHeight="1" x14ac:dyDescent="0.3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5" customHeight="1" x14ac:dyDescent="0.35">
      <c r="A644" s="196">
        <v>8710</v>
      </c>
      <c r="B644" s="200" t="s">
        <v>652</v>
      </c>
      <c r="C644" s="180">
        <f>BX71</f>
        <v>94281</v>
      </c>
      <c r="D644" s="180">
        <f>(D615/D612)*BX76</f>
        <v>0</v>
      </c>
      <c r="E644" s="180">
        <f>(E623/E612)*SUM(C644:D644)</f>
        <v>4787.0209384349182</v>
      </c>
      <c r="F644" s="180">
        <f>(F624/F612)*BX64</f>
        <v>0</v>
      </c>
      <c r="G644" s="180">
        <f>(G625/G612)*BX77</f>
        <v>0</v>
      </c>
      <c r="H644" s="180">
        <f>(H628/H612)*BX60</f>
        <v>2020.4789022561538</v>
      </c>
      <c r="I644" s="180">
        <f>(I629/I612)*BX78</f>
        <v>0</v>
      </c>
      <c r="J644" s="180">
        <f>(J630/J612)*BX79</f>
        <v>0</v>
      </c>
      <c r="K644" s="180">
        <f>SUM(C631:J644)</f>
        <v>2680225.849979172</v>
      </c>
      <c r="N644" s="199" t="s">
        <v>653</v>
      </c>
    </row>
    <row r="645" spans="1:14" ht="12.65" customHeight="1" x14ac:dyDescent="0.35">
      <c r="A645" s="196">
        <v>8720</v>
      </c>
      <c r="B645" s="200" t="s">
        <v>654</v>
      </c>
      <c r="C645" s="180">
        <f>BY71</f>
        <v>280286</v>
      </c>
      <c r="D645" s="180">
        <f>(D615/D612)*BY76</f>
        <v>6419.2842102921004</v>
      </c>
      <c r="E645" s="180">
        <f>(E623/E612)*SUM(C645:D645)</f>
        <v>14557.166329107693</v>
      </c>
      <c r="F645" s="180">
        <f>(F624/F612)*BY64</f>
        <v>2.1269655419291267</v>
      </c>
      <c r="G645" s="180">
        <f>(G625/G612)*BY77</f>
        <v>0</v>
      </c>
      <c r="H645" s="180">
        <f>(H628/H612)*BY60</f>
        <v>3707.3007380846857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5" customHeight="1" x14ac:dyDescent="0.3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5" customHeight="1" x14ac:dyDescent="0.35">
      <c r="A647" s="196">
        <v>8740</v>
      </c>
      <c r="B647" s="200" t="s">
        <v>658</v>
      </c>
      <c r="C647" s="180">
        <f>CA71</f>
        <v>71535</v>
      </c>
      <c r="D647" s="180">
        <f>(D615/D612)*CA76</f>
        <v>56332.494090318432</v>
      </c>
      <c r="E647" s="180">
        <f>(E623/E612)*SUM(C647:D647)</f>
        <v>6492.3406789868322</v>
      </c>
      <c r="F647" s="180">
        <f>(F624/F612)*CA64</f>
        <v>662.91588333043535</v>
      </c>
      <c r="G647" s="180">
        <f>(G625/G612)*CA77</f>
        <v>0</v>
      </c>
      <c r="H647" s="180">
        <f>(H628/H612)*CA60</f>
        <v>55.609511071270283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440050.23840673349</v>
      </c>
      <c r="N647" s="199" t="s">
        <v>659</v>
      </c>
    </row>
    <row r="648" spans="1:14" ht="12.65" customHeight="1" x14ac:dyDescent="0.35">
      <c r="A648" s="196"/>
      <c r="B648" s="196"/>
      <c r="C648" s="180">
        <f>SUM(C614:C647)</f>
        <v>7165375.7400000002</v>
      </c>
      <c r="L648" s="265"/>
    </row>
    <row r="666" spans="1:14" ht="12.65" customHeight="1" x14ac:dyDescent="0.35">
      <c r="C666" s="181" t="s">
        <v>660</v>
      </c>
      <c r="M666" s="181" t="s">
        <v>661</v>
      </c>
    </row>
    <row r="667" spans="1:14" ht="12.65" customHeight="1" x14ac:dyDescent="0.3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5" customHeight="1" x14ac:dyDescent="0.3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5" customHeight="1" x14ac:dyDescent="0.3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5" customHeight="1" x14ac:dyDescent="0.35">
      <c r="A670" s="196">
        <v>6070</v>
      </c>
      <c r="B670" s="198" t="s">
        <v>665</v>
      </c>
      <c r="C670" s="180">
        <f>E71</f>
        <v>3378392.2500000005</v>
      </c>
      <c r="D670" s="180">
        <f>(D615/D612)*E76</f>
        <v>167242.00454814074</v>
      </c>
      <c r="E670" s="180">
        <f>(E623/E612)*SUM(C670:D670)</f>
        <v>180025.93753305581</v>
      </c>
      <c r="F670" s="180">
        <f>(F624/F612)*E64</f>
        <v>2543.9037879443458</v>
      </c>
      <c r="G670" s="180">
        <f>(G625/G612)*E77</f>
        <v>346467.5453908972</v>
      </c>
      <c r="H670" s="180">
        <f>(H628/H612)*E60</f>
        <v>52217.330895922802</v>
      </c>
      <c r="I670" s="180">
        <f>(I629/I612)*E78</f>
        <v>163972.59012774742</v>
      </c>
      <c r="J670" s="180">
        <f>(J630/J612)*E79</f>
        <v>77439.810078869428</v>
      </c>
      <c r="K670" s="180">
        <f>(K644/K612)*E75</f>
        <v>172781.71293686127</v>
      </c>
      <c r="L670" s="180">
        <f>(L647/L612)*E80</f>
        <v>127168.7032576287</v>
      </c>
      <c r="M670" s="180">
        <f t="shared" si="20"/>
        <v>1289860</v>
      </c>
      <c r="N670" s="198" t="s">
        <v>666</v>
      </c>
    </row>
    <row r="671" spans="1:14" ht="12.65" customHeight="1" x14ac:dyDescent="0.3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5" customHeight="1" x14ac:dyDescent="0.3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5" customHeight="1" x14ac:dyDescent="0.3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5" customHeight="1" x14ac:dyDescent="0.3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5" customHeight="1" x14ac:dyDescent="0.35">
      <c r="A675" s="196">
        <v>6170</v>
      </c>
      <c r="B675" s="198" t="s">
        <v>99</v>
      </c>
      <c r="C675" s="180">
        <f>J71</f>
        <v>397</v>
      </c>
      <c r="D675" s="180">
        <f>(D615/D612)*J76</f>
        <v>3720.5647259652173</v>
      </c>
      <c r="E675" s="180">
        <f>(E623/E612)*SUM(C675:D675)</f>
        <v>209.06511978613435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17138.92085452428</v>
      </c>
      <c r="L675" s="180">
        <f>(L647/L612)*J80</f>
        <v>0</v>
      </c>
      <c r="M675" s="180">
        <f t="shared" si="20"/>
        <v>21069</v>
      </c>
      <c r="N675" s="198" t="s">
        <v>675</v>
      </c>
    </row>
    <row r="676" spans="1:14" ht="12.65" customHeight="1" x14ac:dyDescent="0.3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5" customHeight="1" x14ac:dyDescent="0.35">
      <c r="A677" s="196">
        <v>6210</v>
      </c>
      <c r="B677" s="198" t="s">
        <v>289</v>
      </c>
      <c r="C677" s="180">
        <f>L71</f>
        <v>77636.75</v>
      </c>
      <c r="D677" s="180">
        <f>(D615/D612)*L76</f>
        <v>0</v>
      </c>
      <c r="E677" s="180">
        <f>(E623/E612)*SUM(C677:D677)</f>
        <v>3941.9262400911862</v>
      </c>
      <c r="F677" s="180">
        <f>(F624/F612)*L64</f>
        <v>58.769801337880395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2557.8936693880664</v>
      </c>
      <c r="L677" s="180">
        <f>(L647/L612)*L80</f>
        <v>0</v>
      </c>
      <c r="M677" s="180">
        <f t="shared" si="20"/>
        <v>6559</v>
      </c>
      <c r="N677" s="198" t="s">
        <v>677</v>
      </c>
    </row>
    <row r="678" spans="1:14" ht="12.65" customHeight="1" x14ac:dyDescent="0.3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5" customHeight="1" x14ac:dyDescent="0.3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5" customHeight="1" x14ac:dyDescent="0.35">
      <c r="A680" s="196">
        <v>7010</v>
      </c>
      <c r="B680" s="198" t="s">
        <v>682</v>
      </c>
      <c r="C680" s="180">
        <f>O71</f>
        <v>1298693</v>
      </c>
      <c r="D680" s="180">
        <f>(D615/D612)*O76</f>
        <v>40166.378344399141</v>
      </c>
      <c r="E680" s="180">
        <f>(E623/E612)*SUM(C680:D680)</f>
        <v>67979.209785159226</v>
      </c>
      <c r="F680" s="180">
        <f>(F624/F612)*O64</f>
        <v>1094.2714688911767</v>
      </c>
      <c r="G680" s="180">
        <f>(G625/G612)*O77</f>
        <v>115470.47909546016</v>
      </c>
      <c r="H680" s="180">
        <f>(H628/H612)*O60</f>
        <v>10046.785000209498</v>
      </c>
      <c r="I680" s="180">
        <f>(I629/I612)*O78</f>
        <v>24128.952515355799</v>
      </c>
      <c r="J680" s="180">
        <f>(J630/J612)*O79</f>
        <v>7944.6154922278492</v>
      </c>
      <c r="K680" s="180">
        <f>(K644/K612)*O75</f>
        <v>50988.588700312401</v>
      </c>
      <c r="L680" s="180">
        <f>(L647/L612)*O80</f>
        <v>45943.571146429887</v>
      </c>
      <c r="M680" s="180">
        <f t="shared" si="20"/>
        <v>363763</v>
      </c>
      <c r="N680" s="198" t="s">
        <v>683</v>
      </c>
    </row>
    <row r="681" spans="1:14" ht="12.65" customHeight="1" x14ac:dyDescent="0.35">
      <c r="A681" s="196">
        <v>7020</v>
      </c>
      <c r="B681" s="198" t="s">
        <v>684</v>
      </c>
      <c r="C681" s="180">
        <f>P71</f>
        <v>1512109</v>
      </c>
      <c r="D681" s="180">
        <f>(D615/D612)*P76</f>
        <v>107031.73877160503</v>
      </c>
      <c r="E681" s="180">
        <f>(E623/E612)*SUM(C681:D681)</f>
        <v>82210.207982230306</v>
      </c>
      <c r="F681" s="180">
        <f>(F624/F612)*P64</f>
        <v>2924.926303028275</v>
      </c>
      <c r="G681" s="180">
        <f>(G625/G612)*P77</f>
        <v>0</v>
      </c>
      <c r="H681" s="180">
        <f>(H628/H612)*P60</f>
        <v>18462.357675661737</v>
      </c>
      <c r="I681" s="180">
        <f>(I629/I612)*P78</f>
        <v>42003.610364317166</v>
      </c>
      <c r="J681" s="180">
        <f>(J630/J612)*P79</f>
        <v>43109.492839492123</v>
      </c>
      <c r="K681" s="180">
        <f>(K644/K612)*P75</f>
        <v>231325.87135074139</v>
      </c>
      <c r="L681" s="180">
        <f>(L647/L612)*P80</f>
        <v>34603.069407754148</v>
      </c>
      <c r="M681" s="180">
        <f t="shared" si="20"/>
        <v>561671</v>
      </c>
      <c r="N681" s="198" t="s">
        <v>685</v>
      </c>
    </row>
    <row r="682" spans="1:14" ht="12.65" customHeight="1" x14ac:dyDescent="0.35">
      <c r="A682" s="196">
        <v>7030</v>
      </c>
      <c r="B682" s="198" t="s">
        <v>686</v>
      </c>
      <c r="C682" s="180">
        <f>Q71</f>
        <v>608889</v>
      </c>
      <c r="D682" s="180">
        <f>(D615/D612)*Q76</f>
        <v>31729.604810872384</v>
      </c>
      <c r="E682" s="180">
        <f>(E623/E612)*SUM(C682:D682)</f>
        <v>32526.751676166037</v>
      </c>
      <c r="F682" s="180">
        <f>(F624/F612)*Q64</f>
        <v>438.78253081370701</v>
      </c>
      <c r="G682" s="180">
        <f>(G625/G612)*Q77</f>
        <v>0</v>
      </c>
      <c r="H682" s="180">
        <f>(H628/H612)*Q60</f>
        <v>8749.2297418798571</v>
      </c>
      <c r="I682" s="180">
        <f>(I629/I612)*Q78</f>
        <v>31386.80628125116</v>
      </c>
      <c r="J682" s="180">
        <f>(J630/J612)*Q79</f>
        <v>0</v>
      </c>
      <c r="K682" s="180">
        <f>(K644/K612)*Q75</f>
        <v>66629.146077604804</v>
      </c>
      <c r="L682" s="180">
        <f>(L647/L612)*Q80</f>
        <v>40127.929229160276</v>
      </c>
      <c r="M682" s="180">
        <f t="shared" si="20"/>
        <v>211588</v>
      </c>
      <c r="N682" s="198" t="s">
        <v>687</v>
      </c>
    </row>
    <row r="683" spans="1:14" ht="12.65" customHeight="1" x14ac:dyDescent="0.35">
      <c r="A683" s="196">
        <v>7040</v>
      </c>
      <c r="B683" s="198" t="s">
        <v>107</v>
      </c>
      <c r="C683" s="180">
        <f>R71</f>
        <v>834553</v>
      </c>
      <c r="D683" s="180">
        <f>(D615/D612)*R76</f>
        <v>0</v>
      </c>
      <c r="E683" s="180">
        <f>(E623/E612)*SUM(C683:D683)</f>
        <v>42373.571400745393</v>
      </c>
      <c r="F683" s="180">
        <f>(F624/F612)*R64</f>
        <v>75.629315744988119</v>
      </c>
      <c r="G683" s="180">
        <f>(G625/G612)*R77</f>
        <v>0</v>
      </c>
      <c r="H683" s="180">
        <f>(H628/H612)*R60</f>
        <v>389.26657749889199</v>
      </c>
      <c r="I683" s="180">
        <f>(I629/I612)*R78</f>
        <v>0</v>
      </c>
      <c r="J683" s="180">
        <f>(J630/J612)*R79</f>
        <v>0</v>
      </c>
      <c r="K683" s="180">
        <f>(K644/K612)*R75</f>
        <v>87605.295422828989</v>
      </c>
      <c r="L683" s="180">
        <f>(L647/L612)*R80</f>
        <v>0</v>
      </c>
      <c r="M683" s="180">
        <f t="shared" si="20"/>
        <v>130444</v>
      </c>
      <c r="N683" s="198" t="s">
        <v>688</v>
      </c>
    </row>
    <row r="684" spans="1:14" ht="12.65" customHeight="1" x14ac:dyDescent="0.35">
      <c r="A684" s="196">
        <v>7050</v>
      </c>
      <c r="B684" s="198" t="s">
        <v>689</v>
      </c>
      <c r="C684" s="180">
        <f>S71</f>
        <v>2247146.4</v>
      </c>
      <c r="D684" s="180">
        <f>(D615/D612)*S76</f>
        <v>42655.488548389956</v>
      </c>
      <c r="E684" s="180">
        <f>(E623/E612)*SUM(C684:D684)</f>
        <v>116262.33902216738</v>
      </c>
      <c r="F684" s="180">
        <f>(F624/F612)*S64</f>
        <v>74764.65194976257</v>
      </c>
      <c r="G684" s="180">
        <f>(G625/G612)*S77</f>
        <v>0</v>
      </c>
      <c r="H684" s="180">
        <f>(H628/H612)*S60</f>
        <v>3855.5927676080732</v>
      </c>
      <c r="I684" s="180">
        <f>(I629/I612)*S78</f>
        <v>5906.671410821109</v>
      </c>
      <c r="J684" s="180">
        <f>(J630/J612)*S79</f>
        <v>0</v>
      </c>
      <c r="K684" s="180">
        <f>(K644/K612)*S75</f>
        <v>281324.80829079752</v>
      </c>
      <c r="L684" s="180">
        <f>(L647/L612)*S80</f>
        <v>0</v>
      </c>
      <c r="M684" s="180">
        <f t="shared" si="20"/>
        <v>524770</v>
      </c>
      <c r="N684" s="198" t="s">
        <v>690</v>
      </c>
    </row>
    <row r="685" spans="1:14" ht="12.65" customHeight="1" x14ac:dyDescent="0.3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5" customHeight="1" x14ac:dyDescent="0.35">
      <c r="A686" s="196">
        <v>7070</v>
      </c>
      <c r="B686" s="198" t="s">
        <v>109</v>
      </c>
      <c r="C686" s="180">
        <f>U71</f>
        <v>1398384</v>
      </c>
      <c r="D686" s="180">
        <f>(D615/D612)*U76</f>
        <v>31782.007130956401</v>
      </c>
      <c r="E686" s="180">
        <f>(E623/E612)*SUM(C686:D686)</f>
        <v>72615.210080225617</v>
      </c>
      <c r="F686" s="180">
        <f>(F624/F612)*U64</f>
        <v>14724.215344448745</v>
      </c>
      <c r="G686" s="180">
        <f>(G625/G612)*U77</f>
        <v>0</v>
      </c>
      <c r="H686" s="180">
        <f>(H628/H612)*U60</f>
        <v>16052.61219590669</v>
      </c>
      <c r="I686" s="180">
        <f>(I629/I612)*U78</f>
        <v>18337.938935360955</v>
      </c>
      <c r="J686" s="180">
        <f>(J630/J612)*U79</f>
        <v>0</v>
      </c>
      <c r="K686" s="180">
        <f>(K644/K612)*U75</f>
        <v>260048.68402897206</v>
      </c>
      <c r="L686" s="180">
        <f>(L647/L612)*U80</f>
        <v>0</v>
      </c>
      <c r="M686" s="180">
        <f t="shared" si="20"/>
        <v>413561</v>
      </c>
      <c r="N686" s="198" t="s">
        <v>693</v>
      </c>
    </row>
    <row r="687" spans="1:14" ht="12.65" customHeight="1" x14ac:dyDescent="0.35">
      <c r="A687" s="196">
        <v>7110</v>
      </c>
      <c r="B687" s="198" t="s">
        <v>694</v>
      </c>
      <c r="C687" s="180">
        <f>V71</f>
        <v>1296</v>
      </c>
      <c r="D687" s="180">
        <f>(D615/D612)*V76</f>
        <v>0</v>
      </c>
      <c r="E687" s="180">
        <f>(E623/E612)*SUM(C687:D687)</f>
        <v>65.803068870839866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10275.600948497968</v>
      </c>
      <c r="L687" s="180">
        <f>(L647/L612)*V80</f>
        <v>0</v>
      </c>
      <c r="M687" s="180">
        <f t="shared" si="20"/>
        <v>10341</v>
      </c>
      <c r="N687" s="198" t="s">
        <v>695</v>
      </c>
    </row>
    <row r="688" spans="1:14" ht="12.65" customHeight="1" x14ac:dyDescent="0.3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5" customHeight="1" x14ac:dyDescent="0.3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5" customHeight="1" x14ac:dyDescent="0.35">
      <c r="A690" s="196">
        <v>7140</v>
      </c>
      <c r="B690" s="198" t="s">
        <v>1250</v>
      </c>
      <c r="C690" s="180">
        <f>Y71</f>
        <v>3026966</v>
      </c>
      <c r="D690" s="180">
        <f>(D615/D612)*Y76</f>
        <v>146621.69159507999</v>
      </c>
      <c r="E690" s="180">
        <f>(E623/E612)*SUM(C690:D690)</f>
        <v>161135.65543030924</v>
      </c>
      <c r="F690" s="180">
        <f>(F624/F612)*Y64</f>
        <v>10498.039417498288</v>
      </c>
      <c r="G690" s="180">
        <f>(G625/G612)*Y77</f>
        <v>0</v>
      </c>
      <c r="H690" s="180">
        <f>(H628/H612)*Y60</f>
        <v>20334.5445483945</v>
      </c>
      <c r="I690" s="180">
        <f>(I629/I612)*Y78</f>
        <v>33252.276125645571</v>
      </c>
      <c r="J690" s="180">
        <f>(J630/J612)*Y79</f>
        <v>16559.429509125534</v>
      </c>
      <c r="K690" s="180">
        <f>(K644/K612)*Y75</f>
        <v>679806.01485060435</v>
      </c>
      <c r="L690" s="180">
        <f>(L647/L612)*Y80</f>
        <v>2617.0388627713228</v>
      </c>
      <c r="M690" s="180">
        <f t="shared" si="20"/>
        <v>1070825</v>
      </c>
      <c r="N690" s="198" t="s">
        <v>700</v>
      </c>
    </row>
    <row r="691" spans="1:14" ht="12.65" customHeight="1" x14ac:dyDescent="0.3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5" customHeight="1" x14ac:dyDescent="0.3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5" customHeight="1" x14ac:dyDescent="0.35">
      <c r="A693" s="196">
        <v>7170</v>
      </c>
      <c r="B693" s="198" t="s">
        <v>115</v>
      </c>
      <c r="C693" s="180">
        <f>AB71</f>
        <v>783971.66</v>
      </c>
      <c r="D693" s="180">
        <f>(D615/D612)*AB76</f>
        <v>15406.282104701042</v>
      </c>
      <c r="E693" s="180">
        <f>(E623/E612)*SUM(C693:D693)</f>
        <v>40587.593964618747</v>
      </c>
      <c r="F693" s="180">
        <f>(F624/F612)*AB64</f>
        <v>16737.789215191748</v>
      </c>
      <c r="G693" s="180">
        <f>(G625/G612)*AB77</f>
        <v>0</v>
      </c>
      <c r="H693" s="180">
        <f>(H628/H612)*AB60</f>
        <v>3762.9102491559556</v>
      </c>
      <c r="I693" s="180">
        <f>(I629/I612)*AB78</f>
        <v>4671.4717681203847</v>
      </c>
      <c r="J693" s="180">
        <f>(J630/J612)*AB79</f>
        <v>0</v>
      </c>
      <c r="K693" s="180">
        <f>(K644/K612)*AB75</f>
        <v>119211.82884800319</v>
      </c>
      <c r="L693" s="180">
        <f>(L647/L612)*AB80</f>
        <v>0</v>
      </c>
      <c r="M693" s="180">
        <f t="shared" si="20"/>
        <v>200378</v>
      </c>
      <c r="N693" s="198" t="s">
        <v>705</v>
      </c>
    </row>
    <row r="694" spans="1:14" ht="12.65" customHeight="1" x14ac:dyDescent="0.35">
      <c r="A694" s="196">
        <v>7180</v>
      </c>
      <c r="B694" s="198" t="s">
        <v>706</v>
      </c>
      <c r="C694" s="180">
        <f>AC71</f>
        <v>350796</v>
      </c>
      <c r="D694" s="180">
        <f>(D615/D612)*AC76</f>
        <v>10323.257056551378</v>
      </c>
      <c r="E694" s="180">
        <f>(E623/E612)*SUM(C694:D694)</f>
        <v>18335.459369350909</v>
      </c>
      <c r="F694" s="180">
        <f>(F624/F612)*AC64</f>
        <v>956.99502071781649</v>
      </c>
      <c r="G694" s="180">
        <f>(G625/G612)*AC77</f>
        <v>0</v>
      </c>
      <c r="H694" s="180">
        <f>(H628/H612)*AC60</f>
        <v>5449.7320849844882</v>
      </c>
      <c r="I694" s="180">
        <f>(I629/I612)*AC78</f>
        <v>3628.926882947681</v>
      </c>
      <c r="J694" s="180">
        <f>(J630/J612)*AC79</f>
        <v>0</v>
      </c>
      <c r="K694" s="180">
        <f>(K644/K612)*AC75</f>
        <v>23689.523546606946</v>
      </c>
      <c r="L694" s="180">
        <f>(L647/L612)*AC80</f>
        <v>0</v>
      </c>
      <c r="M694" s="180">
        <f t="shared" si="20"/>
        <v>62384</v>
      </c>
      <c r="N694" s="198" t="s">
        <v>707</v>
      </c>
    </row>
    <row r="695" spans="1:14" ht="12.65" customHeight="1" x14ac:dyDescent="0.3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5" customHeight="1" x14ac:dyDescent="0.35">
      <c r="A696" s="196">
        <v>7200</v>
      </c>
      <c r="B696" s="198" t="s">
        <v>709</v>
      </c>
      <c r="C696" s="180">
        <f>AE71</f>
        <v>610603.05000000005</v>
      </c>
      <c r="D696" s="180">
        <f>(D615/D612)*AE76</f>
        <v>61101.105217963996</v>
      </c>
      <c r="E696" s="180">
        <f>(E623/E612)*SUM(C696:D696)</f>
        <v>34105.088569935964</v>
      </c>
      <c r="F696" s="180">
        <f>(F624/F612)*AE64</f>
        <v>530.45125884209517</v>
      </c>
      <c r="G696" s="180">
        <f>(G625/G612)*AE77</f>
        <v>0</v>
      </c>
      <c r="H696" s="180">
        <f>(H628/H612)*AE60</f>
        <v>11437.022776991254</v>
      </c>
      <c r="I696" s="180">
        <f>(I629/I612)*AE78</f>
        <v>10500.821370692476</v>
      </c>
      <c r="J696" s="180">
        <f>(J630/J612)*AE79</f>
        <v>0</v>
      </c>
      <c r="K696" s="180">
        <f>(K644/K612)*AE75</f>
        <v>69246.66716404364</v>
      </c>
      <c r="L696" s="180">
        <f>(L647/L612)*AE80</f>
        <v>0</v>
      </c>
      <c r="M696" s="180">
        <f t="shared" si="20"/>
        <v>186921</v>
      </c>
      <c r="N696" s="198" t="s">
        <v>710</v>
      </c>
    </row>
    <row r="697" spans="1:14" ht="12.65" customHeight="1" x14ac:dyDescent="0.3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5" customHeight="1" x14ac:dyDescent="0.35">
      <c r="A698" s="196">
        <v>7230</v>
      </c>
      <c r="B698" s="198" t="s">
        <v>713</v>
      </c>
      <c r="C698" s="180">
        <f>AG71</f>
        <v>3926256</v>
      </c>
      <c r="D698" s="180">
        <f>(D615/D612)*AG76</f>
        <v>94350.377311272881</v>
      </c>
      <c r="E698" s="180">
        <f>(E623/E612)*SUM(C698:D698)</f>
        <v>204142.1592197158</v>
      </c>
      <c r="F698" s="180">
        <f>(F624/F612)*AG64</f>
        <v>2755.5361620005424</v>
      </c>
      <c r="G698" s="180">
        <f>(G625/G612)*AG77</f>
        <v>0</v>
      </c>
      <c r="H698" s="180">
        <f>(H628/H612)*AG60</f>
        <v>38593.000683461578</v>
      </c>
      <c r="I698" s="180">
        <f>(I629/I612)*AG78</f>
        <v>126048.84223398147</v>
      </c>
      <c r="J698" s="180">
        <f>(J630/J612)*AG79</f>
        <v>20026.608768886825</v>
      </c>
      <c r="K698" s="180">
        <f>(K644/K612)*AG75</f>
        <v>279254.14413196809</v>
      </c>
      <c r="L698" s="180">
        <f>(L647/L612)*AG80</f>
        <v>77348.037499685757</v>
      </c>
      <c r="M698" s="180">
        <f t="shared" si="20"/>
        <v>842519</v>
      </c>
      <c r="N698" s="198" t="s">
        <v>714</v>
      </c>
    </row>
    <row r="699" spans="1:14" ht="12.65" customHeight="1" x14ac:dyDescent="0.3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5" customHeight="1" x14ac:dyDescent="0.3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5" customHeight="1" x14ac:dyDescent="0.3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5" customHeight="1" x14ac:dyDescent="0.3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5" customHeight="1" x14ac:dyDescent="0.3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5" customHeight="1" x14ac:dyDescent="0.3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5" customHeight="1" x14ac:dyDescent="0.3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5" customHeight="1" x14ac:dyDescent="0.3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5" customHeight="1" x14ac:dyDescent="0.35">
      <c r="A707" s="196">
        <v>7380</v>
      </c>
      <c r="B707" s="198" t="s">
        <v>729</v>
      </c>
      <c r="C707" s="180">
        <f>AP71</f>
        <v>5276360</v>
      </c>
      <c r="D707" s="180">
        <f>(D615/D612)*AP76</f>
        <v>409497.93029655202</v>
      </c>
      <c r="E707" s="180">
        <f>(E623/E612)*SUM(C707:D707)</f>
        <v>288693.5964329592</v>
      </c>
      <c r="F707" s="180">
        <f>(F624/F612)*AP64</f>
        <v>6097.1036332339181</v>
      </c>
      <c r="G707" s="180">
        <f>(G625/G612)*AP77</f>
        <v>0</v>
      </c>
      <c r="H707" s="180">
        <f>(H628/H612)*AP60</f>
        <v>69289.450794802775</v>
      </c>
      <c r="I707" s="180">
        <f>(I629/I612)*AP78</f>
        <v>54563.855863121127</v>
      </c>
      <c r="J707" s="180">
        <f>(J630/J612)*AP79</f>
        <v>0</v>
      </c>
      <c r="K707" s="180">
        <f>(K644/K612)*AP75</f>
        <v>328341.14915741701</v>
      </c>
      <c r="L707" s="180">
        <f>(L647/L612)*AP80</f>
        <v>112241.88900330338</v>
      </c>
      <c r="M707" s="180">
        <f t="shared" si="20"/>
        <v>1268725</v>
      </c>
      <c r="N707" s="198" t="s">
        <v>730</v>
      </c>
    </row>
    <row r="708" spans="1:83" ht="12.65" customHeight="1" x14ac:dyDescent="0.3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5" customHeight="1" x14ac:dyDescent="0.3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5" customHeight="1" x14ac:dyDescent="0.3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5" customHeight="1" x14ac:dyDescent="0.3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5" customHeight="1" x14ac:dyDescent="0.3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5" customHeight="1" x14ac:dyDescent="0.3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5" customHeight="1" x14ac:dyDescent="0.35">
      <c r="C715" s="180">
        <f>SUM(C614:C647)+SUM(C668:C713)</f>
        <v>32497824.850000001</v>
      </c>
      <c r="D715" s="180">
        <f>SUM(D616:D647)+SUM(D668:D713)</f>
        <v>1471954.9699999997</v>
      </c>
      <c r="E715" s="180">
        <f>SUM(E624:E647)+SUM(E668:E713)</f>
        <v>1570312.6653475498</v>
      </c>
      <c r="F715" s="180">
        <f>SUM(F625:F648)+SUM(F668:F713)</f>
        <v>144040.09399183211</v>
      </c>
      <c r="G715" s="180">
        <f>SUM(G626:G647)+SUM(G668:G713)</f>
        <v>461938.02448635735</v>
      </c>
      <c r="H715" s="180">
        <f>SUM(H629:H647)+SUM(H668:H713)</f>
        <v>333323.40936119406</v>
      </c>
      <c r="I715" s="180">
        <f>SUM(I630:I647)+SUM(I668:I713)</f>
        <v>528903.58525005472</v>
      </c>
      <c r="J715" s="180">
        <f>SUM(J631:J647)+SUM(J668:J713)</f>
        <v>165079.95668860176</v>
      </c>
      <c r="K715" s="180">
        <f>SUM(K668:K713)</f>
        <v>2680225.849979172</v>
      </c>
      <c r="L715" s="180">
        <f>SUM(L668:L713)</f>
        <v>440050.23840673344</v>
      </c>
      <c r="M715" s="180">
        <f>SUM(M668:M713)</f>
        <v>7165378</v>
      </c>
      <c r="N715" s="198" t="s">
        <v>742</v>
      </c>
    </row>
    <row r="716" spans="1:83" ht="12.65" customHeight="1" x14ac:dyDescent="0.35">
      <c r="C716" s="180">
        <f>CE71</f>
        <v>32497824.849999998</v>
      </c>
      <c r="D716" s="180">
        <f>D615</f>
        <v>1471954.9699999997</v>
      </c>
      <c r="E716" s="180">
        <f>E623</f>
        <v>1570312.6653475498</v>
      </c>
      <c r="F716" s="180">
        <f>F624</f>
        <v>144040.09399183208</v>
      </c>
      <c r="G716" s="180">
        <f>G625</f>
        <v>461938.0244863574</v>
      </c>
      <c r="H716" s="180">
        <f>H628</f>
        <v>333323.40936119406</v>
      </c>
      <c r="I716" s="180">
        <f>I629</f>
        <v>528903.58525005484</v>
      </c>
      <c r="J716" s="180">
        <f>J630</f>
        <v>165079.95668860176</v>
      </c>
      <c r="K716" s="180">
        <f>K644</f>
        <v>2680225.849979172</v>
      </c>
      <c r="L716" s="180">
        <f>L647</f>
        <v>440050.23840673349</v>
      </c>
      <c r="M716" s="180">
        <f>C648</f>
        <v>7165375.7400000002</v>
      </c>
      <c r="N716" s="198" t="s">
        <v>743</v>
      </c>
    </row>
    <row r="717" spans="1:83" ht="12.65" customHeight="1" x14ac:dyDescent="0.35">
      <c r="O717" s="198"/>
    </row>
    <row r="718" spans="1:83" ht="12.65" customHeight="1" x14ac:dyDescent="0.35">
      <c r="O718" s="198"/>
    </row>
    <row r="719" spans="1:83" ht="12.65" customHeight="1" x14ac:dyDescent="0.35">
      <c r="O719" s="198"/>
    </row>
    <row r="720" spans="1:83" s="201" customFormat="1" ht="12.65" customHeight="1" x14ac:dyDescent="0.3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5" customHeight="1" x14ac:dyDescent="0.3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5" customHeight="1" x14ac:dyDescent="0.35">
      <c r="A722" s="202" t="str">
        <f>RIGHT(C83,3)&amp;"*"&amp;RIGHT(C82,4)&amp;"*"&amp;"A"</f>
        <v>147*2018*A</v>
      </c>
      <c r="B722" s="275">
        <f>ROUND(C165,0)</f>
        <v>1005798</v>
      </c>
      <c r="C722" s="275">
        <f>ROUND(C166,0)</f>
        <v>20569</v>
      </c>
      <c r="D722" s="275">
        <f>ROUND(C167,0)</f>
        <v>251850</v>
      </c>
      <c r="E722" s="275">
        <f>ROUND(C168,0)</f>
        <v>2255325</v>
      </c>
      <c r="F722" s="275">
        <f>ROUND(C169,0)</f>
        <v>37129</v>
      </c>
      <c r="G722" s="275">
        <f>ROUND(C170,0)</f>
        <v>168411</v>
      </c>
      <c r="H722" s="275">
        <f>ROUND(C171+C172,0)</f>
        <v>30108</v>
      </c>
      <c r="I722" s="275">
        <f>ROUND(C175,0)</f>
        <v>2600</v>
      </c>
      <c r="J722" s="275">
        <f>ROUND(C176,0)</f>
        <v>381860</v>
      </c>
      <c r="K722" s="275">
        <f>ROUND(C179,0)</f>
        <v>394755</v>
      </c>
      <c r="L722" s="275">
        <f>ROUND(C180,0)</f>
        <v>63600</v>
      </c>
      <c r="M722" s="275">
        <f>ROUND(C183,0)</f>
        <v>25746</v>
      </c>
      <c r="N722" s="275">
        <f>ROUND(C184,0)</f>
        <v>164476</v>
      </c>
      <c r="O722" s="275">
        <f>ROUND(C185,0)</f>
        <v>0</v>
      </c>
      <c r="P722" s="275">
        <f>ROUND(C188,0)</f>
        <v>312018</v>
      </c>
      <c r="Q722" s="275">
        <f>ROUND(C189,0)</f>
        <v>0</v>
      </c>
      <c r="R722" s="275">
        <f>ROUND(B195,0)</f>
        <v>146306</v>
      </c>
      <c r="S722" s="275">
        <f>ROUND(C195,0)</f>
        <v>0</v>
      </c>
      <c r="T722" s="275">
        <f>ROUND(D195,0)</f>
        <v>0</v>
      </c>
      <c r="U722" s="275">
        <f>ROUND(B196,0)</f>
        <v>1137603</v>
      </c>
      <c r="V722" s="275">
        <f>ROUND(C196,0)</f>
        <v>0</v>
      </c>
      <c r="W722" s="275">
        <f>ROUND(D196,0)</f>
        <v>9588</v>
      </c>
      <c r="X722" s="275">
        <f>ROUND(B197,0)</f>
        <v>7762021</v>
      </c>
      <c r="Y722" s="275">
        <f>ROUND(C197,0)</f>
        <v>161599</v>
      </c>
      <c r="Z722" s="275">
        <f>ROUND(D197,0)</f>
        <v>21690</v>
      </c>
      <c r="AA722" s="275">
        <f>ROUND(B198,0)</f>
        <v>5553719</v>
      </c>
      <c r="AB722" s="275">
        <f>ROUND(C198,0)</f>
        <v>309593</v>
      </c>
      <c r="AC722" s="275">
        <f>ROUND(D198,0)</f>
        <v>0</v>
      </c>
      <c r="AD722" s="275">
        <f>ROUND(B199,0)</f>
        <v>322224</v>
      </c>
      <c r="AE722" s="275">
        <f>ROUND(C199,0)</f>
        <v>1859</v>
      </c>
      <c r="AF722" s="275">
        <f>ROUND(D199,0)</f>
        <v>0</v>
      </c>
      <c r="AG722" s="275">
        <f>ROUND(B200,0)</f>
        <v>8164031</v>
      </c>
      <c r="AH722" s="275">
        <f>ROUND(C200,0)</f>
        <v>111508</v>
      </c>
      <c r="AI722" s="275">
        <f>ROUND(D200,0)</f>
        <v>64278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20313</v>
      </c>
      <c r="AQ722" s="275">
        <f>ROUND(C203,0)</f>
        <v>703403</v>
      </c>
      <c r="AR722" s="275">
        <f>ROUND(D203,0)</f>
        <v>0</v>
      </c>
      <c r="AS722" s="275"/>
      <c r="AT722" s="275"/>
      <c r="AU722" s="275"/>
      <c r="AV722" s="275">
        <f>ROUND(B209,0)</f>
        <v>731212</v>
      </c>
      <c r="AW722" s="275">
        <f>ROUND(C209,0)</f>
        <v>76341</v>
      </c>
      <c r="AX722" s="275">
        <f>ROUND(D209,0)</f>
        <v>9588</v>
      </c>
      <c r="AY722" s="275">
        <f>ROUND(B210,0)</f>
        <v>3982685</v>
      </c>
      <c r="AZ722" s="275">
        <f>ROUND(C210,0)</f>
        <v>314383</v>
      </c>
      <c r="BA722" s="275">
        <f>ROUND(D210,0)</f>
        <v>9496</v>
      </c>
      <c r="BB722" s="275">
        <f>ROUND(B211,0)</f>
        <v>2322429</v>
      </c>
      <c r="BC722" s="275">
        <f>ROUND(C211,0)</f>
        <v>288105</v>
      </c>
      <c r="BD722" s="275">
        <f>ROUND(D211,0)</f>
        <v>10114</v>
      </c>
      <c r="BE722" s="275">
        <f>ROUND(B212,0)</f>
        <v>174714</v>
      </c>
      <c r="BF722" s="275">
        <f>ROUND(C212,0)</f>
        <v>13951</v>
      </c>
      <c r="BG722" s="275">
        <f>ROUND(D212,0)</f>
        <v>0</v>
      </c>
      <c r="BH722" s="275">
        <f>ROUND(B213,0)</f>
        <v>5965441</v>
      </c>
      <c r="BI722" s="275">
        <f>ROUND(C213,0)</f>
        <v>609001</v>
      </c>
      <c r="BJ722" s="275">
        <f>ROUND(D213,0)</f>
        <v>40260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12533810</v>
      </c>
      <c r="BU722" s="275">
        <f>ROUND(C224,0)</f>
        <v>11743888</v>
      </c>
      <c r="BV722" s="275">
        <f>ROUND(C225,0)</f>
        <v>1182150</v>
      </c>
      <c r="BW722" s="275">
        <f>ROUND(C226,0)</f>
        <v>677598</v>
      </c>
      <c r="BX722" s="275">
        <f>ROUND(C227,0)</f>
        <v>6160130</v>
      </c>
      <c r="BY722" s="275">
        <f>ROUND(C228,0)</f>
        <v>0</v>
      </c>
      <c r="BZ722" s="275">
        <f>ROUND(C231,0)</f>
        <v>578</v>
      </c>
      <c r="CA722" s="275">
        <f>ROUND(C233,0)</f>
        <v>209133</v>
      </c>
      <c r="CB722" s="275">
        <f>ROUND(C234,0)</f>
        <v>710969</v>
      </c>
      <c r="CC722" s="275">
        <f>ROUND(C238+C239,0)</f>
        <v>831606</v>
      </c>
      <c r="CD722" s="275">
        <f>D221</f>
        <v>712101</v>
      </c>
      <c r="CE722" s="275"/>
    </row>
    <row r="723" spans="1:84" ht="12.65" customHeight="1" x14ac:dyDescent="0.3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5" customHeight="1" x14ac:dyDescent="0.3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5" customHeight="1" x14ac:dyDescent="0.3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5" customHeight="1" x14ac:dyDescent="0.35">
      <c r="A726" s="202" t="str">
        <f>RIGHT(C83,3)&amp;"*"&amp;RIGHT(C82,4)&amp;"*"&amp;"A"</f>
        <v>147*2018*A</v>
      </c>
      <c r="B726" s="275">
        <f>ROUND(C111,0)</f>
        <v>694</v>
      </c>
      <c r="C726" s="275">
        <f>ROUND(C112,0)</f>
        <v>1</v>
      </c>
      <c r="D726" s="275">
        <f>ROUND(C113,0)</f>
        <v>0</v>
      </c>
      <c r="E726" s="275">
        <f>ROUND(C114,0)</f>
        <v>216</v>
      </c>
      <c r="F726" s="275">
        <f>ROUND(D111,0)</f>
        <v>1725</v>
      </c>
      <c r="G726" s="275">
        <f>ROUND(D112,0)</f>
        <v>49</v>
      </c>
      <c r="H726" s="275">
        <f>ROUND(D113,0)</f>
        <v>0</v>
      </c>
      <c r="I726" s="275">
        <f>ROUND(D114,0)</f>
        <v>387</v>
      </c>
      <c r="J726" s="275">
        <f>ROUND(C116,0)</f>
        <v>0</v>
      </c>
      <c r="K726" s="275">
        <f>ROUND(C117,0)</f>
        <v>0</v>
      </c>
      <c r="L726" s="275">
        <f>ROUND(C118,0)</f>
        <v>25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44</v>
      </c>
      <c r="W726" s="275">
        <f>ROUND(C129,0)</f>
        <v>0</v>
      </c>
      <c r="X726" s="275">
        <f>ROUND(B138,0)</f>
        <v>291</v>
      </c>
      <c r="Y726" s="275">
        <f>ROUND(B139,0)</f>
        <v>791</v>
      </c>
      <c r="Z726" s="275">
        <f>ROUND(B140,0)</f>
        <v>11308</v>
      </c>
      <c r="AA726" s="275">
        <f>ROUND(B141,0)</f>
        <v>5907726</v>
      </c>
      <c r="AB726" s="275">
        <f>ROUND(B142,0)</f>
        <v>19396055</v>
      </c>
      <c r="AC726" s="275">
        <f>ROUND(C138,0)</f>
        <v>254</v>
      </c>
      <c r="AD726" s="275">
        <f>ROUND(C139,0)</f>
        <v>550</v>
      </c>
      <c r="AE726" s="275">
        <f>ROUND(C140,0)</f>
        <v>8985</v>
      </c>
      <c r="AF726" s="275">
        <f>ROUND(C141,0)</f>
        <v>4512589</v>
      </c>
      <c r="AG726" s="275">
        <f>ROUND(C142,0)</f>
        <v>15509474</v>
      </c>
      <c r="AH726" s="275">
        <f>ROUND(D138,0)</f>
        <v>149</v>
      </c>
      <c r="AI726" s="275">
        <f>ROUND(D139,0)</f>
        <v>384</v>
      </c>
      <c r="AJ726" s="275">
        <f>ROUND(D140,0)</f>
        <v>10006</v>
      </c>
      <c r="AK726" s="275">
        <f>ROUND(D141,0)</f>
        <v>3295062</v>
      </c>
      <c r="AL726" s="275">
        <f>ROUND(D142,0)</f>
        <v>16942799</v>
      </c>
      <c r="AM726" s="275">
        <f>ROUND(B144,0)</f>
        <v>1</v>
      </c>
      <c r="AN726" s="275">
        <f>ROUND(B145,0)</f>
        <v>49</v>
      </c>
      <c r="AO726" s="275">
        <f>ROUND(B146,0)</f>
        <v>0</v>
      </c>
      <c r="AP726" s="275">
        <f>ROUND(B147,0)</f>
        <v>62631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7784107</v>
      </c>
      <c r="BR726" s="275">
        <f>ROUND(C157,0)</f>
        <v>3663018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5" customHeight="1" x14ac:dyDescent="0.3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5" customHeight="1" x14ac:dyDescent="0.3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5" customHeight="1" x14ac:dyDescent="0.3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5" customHeight="1" x14ac:dyDescent="0.35">
      <c r="A730" s="202" t="str">
        <f>RIGHT(C83,3)&amp;"*"&amp;RIGHT(C82,4)&amp;"*"&amp;"A"</f>
        <v>147*2018*A</v>
      </c>
      <c r="B730" s="275">
        <f>ROUND(C250,0)</f>
        <v>1908199</v>
      </c>
      <c r="C730" s="275">
        <f>ROUND(C251,0)</f>
        <v>0</v>
      </c>
      <c r="D730" s="275">
        <f>ROUND(C252,0)</f>
        <v>8431963</v>
      </c>
      <c r="E730" s="275">
        <f>ROUND(C253,0)</f>
        <v>4624213</v>
      </c>
      <c r="F730" s="275">
        <f>ROUND(C254,0)</f>
        <v>398273</v>
      </c>
      <c r="G730" s="275">
        <f>ROUND(C255,0)</f>
        <v>216406</v>
      </c>
      <c r="H730" s="275">
        <f>ROUND(C256,0)</f>
        <v>0</v>
      </c>
      <c r="I730" s="275">
        <f>ROUND(C257,0)</f>
        <v>819876</v>
      </c>
      <c r="J730" s="275">
        <f>ROUND(C258,0)</f>
        <v>348644</v>
      </c>
      <c r="K730" s="275">
        <f>ROUND(C259,0)</f>
        <v>0</v>
      </c>
      <c r="L730" s="275">
        <f>ROUND(C262,0)</f>
        <v>2100681</v>
      </c>
      <c r="M730" s="275">
        <f>ROUND(C263,0)</f>
        <v>0</v>
      </c>
      <c r="N730" s="275">
        <f>ROUND(C264,0)</f>
        <v>0</v>
      </c>
      <c r="O730" s="275">
        <f>ROUND(C267,0)</f>
        <v>146306</v>
      </c>
      <c r="P730" s="275">
        <f>ROUND(C268,0)</f>
        <v>1128016</v>
      </c>
      <c r="Q730" s="275">
        <f>ROUND(C269,0)</f>
        <v>7901930</v>
      </c>
      <c r="R730" s="275">
        <f>ROUND(C270,0)</f>
        <v>5863312</v>
      </c>
      <c r="S730" s="275">
        <f>ROUND(C271,0)</f>
        <v>324083</v>
      </c>
      <c r="T730" s="275">
        <f>ROUND(C272,0)</f>
        <v>8211260</v>
      </c>
      <c r="U730" s="275">
        <f>ROUND(C273,0)</f>
        <v>0</v>
      </c>
      <c r="V730" s="275">
        <f>ROUND(C274,0)</f>
        <v>723716</v>
      </c>
      <c r="W730" s="275">
        <f>ROUND(C275,0)</f>
        <v>0</v>
      </c>
      <c r="X730" s="275">
        <f>ROUND(C276,0)</f>
        <v>14408803</v>
      </c>
      <c r="Y730" s="275">
        <f>ROUND(C279,0)</f>
        <v>1558333</v>
      </c>
      <c r="Z730" s="275">
        <f>ROUND(C280,0)</f>
        <v>1266088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1795016</v>
      </c>
      <c r="AI730" s="275">
        <f>ROUND(C306,0)</f>
        <v>970221</v>
      </c>
      <c r="AJ730" s="275">
        <f>ROUND(C307,0)</f>
        <v>0</v>
      </c>
      <c r="AK730" s="275">
        <f>ROUND(C308,0)</f>
        <v>0</v>
      </c>
      <c r="AL730" s="275">
        <f>ROUND(C309,0)</f>
        <v>329711</v>
      </c>
      <c r="AM730" s="275">
        <f>ROUND(C310,0)</f>
        <v>0</v>
      </c>
      <c r="AN730" s="275">
        <f>ROUND(C311,0)</f>
        <v>0</v>
      </c>
      <c r="AO730" s="275">
        <f>ROUND(C312,0)</f>
        <v>24275</v>
      </c>
      <c r="AP730" s="275">
        <f>ROUND(C313,0)</f>
        <v>1178243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5457221</v>
      </c>
      <c r="AW730" s="275">
        <f>ROUND(C324,0)</f>
        <v>2007348</v>
      </c>
      <c r="AX730" s="275">
        <f>ROUND(C325,0)</f>
        <v>0</v>
      </c>
      <c r="AY730" s="275">
        <f>ROUND(C326,0)</f>
        <v>0</v>
      </c>
      <c r="AZ730" s="275">
        <f>ROUND(C327,0)</f>
        <v>609229</v>
      </c>
      <c r="BA730" s="275">
        <f>ROUND(C328,0)</f>
        <v>0</v>
      </c>
      <c r="BB730" s="275">
        <f>ROUND(C332,0)</f>
        <v>8588873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200.9</v>
      </c>
      <c r="BJ730" s="275">
        <f>ROUND(C359,0)</f>
        <v>13404848</v>
      </c>
      <c r="BK730" s="275">
        <f>ROUND(C360,0)</f>
        <v>52221500</v>
      </c>
      <c r="BL730" s="275">
        <f>ROUND(C364,0)</f>
        <v>32297577</v>
      </c>
      <c r="BM730" s="275">
        <f>ROUND(C365,0)</f>
        <v>920102</v>
      </c>
      <c r="BN730" s="275">
        <f>ROUND(C366,0)</f>
        <v>831605</v>
      </c>
      <c r="BO730" s="275">
        <f>ROUND(C370,0)</f>
        <v>462242</v>
      </c>
      <c r="BP730" s="275">
        <f>ROUND(C371,0)</f>
        <v>1039314</v>
      </c>
      <c r="BQ730" s="275">
        <f>ROUND(C378,0)</f>
        <v>14865003</v>
      </c>
      <c r="BR730" s="275">
        <f>ROUND(C379,0)</f>
        <v>3763692</v>
      </c>
      <c r="BS730" s="275">
        <f>ROUND(C380,0)</f>
        <v>4704936</v>
      </c>
      <c r="BT730" s="275">
        <f>ROUND(C381,0)</f>
        <v>4196122</v>
      </c>
      <c r="BU730" s="275">
        <f>ROUND(C382,0)</f>
        <v>451155</v>
      </c>
      <c r="BV730" s="275">
        <f>ROUND(C383,0)</f>
        <v>2110167</v>
      </c>
      <c r="BW730" s="275">
        <f>ROUND(C384,0)</f>
        <v>1301781</v>
      </c>
      <c r="BX730" s="275">
        <f>ROUND(C385,0)</f>
        <v>384460</v>
      </c>
      <c r="BY730" s="275">
        <f>ROUND(C386,0)</f>
        <v>458355</v>
      </c>
      <c r="BZ730" s="275">
        <f>ROUND(C387,0)</f>
        <v>190222</v>
      </c>
      <c r="CA730" s="275">
        <f>ROUND(C388,0)</f>
        <v>312018</v>
      </c>
      <c r="CB730" s="275">
        <f>C363</f>
        <v>712101</v>
      </c>
      <c r="CC730" s="275">
        <f>ROUND(C389,0)</f>
        <v>222147</v>
      </c>
      <c r="CD730" s="275">
        <f>ROUND(C392,0)</f>
        <v>722066</v>
      </c>
      <c r="CE730" s="275">
        <f>ROUND(C394,0)</f>
        <v>-39563</v>
      </c>
      <c r="CF730" s="201">
        <f>ROUND(C395,0)</f>
        <v>0</v>
      </c>
    </row>
    <row r="731" spans="1:84" ht="12.65" customHeight="1" x14ac:dyDescent="0.3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5" customHeight="1" x14ac:dyDescent="0.3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5" customHeight="1" x14ac:dyDescent="0.3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5" customHeight="1" x14ac:dyDescent="0.35">
      <c r="A734" s="202" t="str">
        <f>RIGHT($C$83,3)&amp;"*"&amp;RIGHT($C$82,4)&amp;"*"&amp;C$55&amp;"*"&amp;"A"</f>
        <v>147*2018*6010*A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5" customHeight="1" x14ac:dyDescent="0.35">
      <c r="A735" s="209" t="str">
        <f>RIGHT($C$83,3)&amp;"*"&amp;RIGHT($C$82,4)&amp;"*"&amp;D$55&amp;"*"&amp;"A"</f>
        <v>147*2018*6030*A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5" customHeight="1" x14ac:dyDescent="0.35">
      <c r="A736" s="209" t="str">
        <f>RIGHT($C$83,3)&amp;"*"&amp;RIGHT($C$82,4)&amp;"*"&amp;E$55&amp;"*"&amp;"A"</f>
        <v>147*2018*6070*A</v>
      </c>
      <c r="B736" s="275">
        <f>ROUND(E59,0)</f>
        <v>1725</v>
      </c>
      <c r="C736" s="277">
        <f>ROUND(E60,2)</f>
        <v>28.17</v>
      </c>
      <c r="D736" s="275">
        <f>ROUND(E61,0)</f>
        <v>2011622</v>
      </c>
      <c r="E736" s="275">
        <f>ROUND(E62,0)</f>
        <v>516127</v>
      </c>
      <c r="F736" s="275">
        <f>ROUND(E63,0)</f>
        <v>469382</v>
      </c>
      <c r="G736" s="275">
        <f>ROUND(E64,0)</f>
        <v>72958</v>
      </c>
      <c r="H736" s="275">
        <f>ROUND(E65,0)</f>
        <v>0</v>
      </c>
      <c r="I736" s="275">
        <f>ROUND(E66,0)</f>
        <v>181993</v>
      </c>
      <c r="J736" s="275">
        <f>ROUND(E67,0)</f>
        <v>58619</v>
      </c>
      <c r="K736" s="275">
        <f>ROUND(E68,0)</f>
        <v>64906</v>
      </c>
      <c r="L736" s="275">
        <f>ROUND(E69,0)</f>
        <v>2787</v>
      </c>
      <c r="M736" s="275">
        <f>ROUND(E70,0)</f>
        <v>0</v>
      </c>
      <c r="N736" s="275">
        <f>ROUND(E75,0)</f>
        <v>4230626</v>
      </c>
      <c r="O736" s="275">
        <f>ROUND(E73,0)</f>
        <v>2624288</v>
      </c>
      <c r="P736" s="275">
        <f>IF(E76&gt;0,ROUND(E76,0),0)</f>
        <v>6383</v>
      </c>
      <c r="Q736" s="275">
        <f>IF(E77&gt;0,ROUND(E77,0),0)</f>
        <v>6175</v>
      </c>
      <c r="R736" s="275">
        <f>IF(E78&gt;0,ROUND(E78,0),0)</f>
        <v>5047</v>
      </c>
      <c r="S736" s="275">
        <f>IF(E79&gt;0,ROUND(E79,0),0)</f>
        <v>54654</v>
      </c>
      <c r="T736" s="277">
        <f>IF(E80&gt;0,ROUND(E80,2),0)</f>
        <v>13.12</v>
      </c>
      <c r="U736" s="275"/>
      <c r="V736" s="276"/>
      <c r="W736" s="275"/>
      <c r="X736" s="275"/>
      <c r="Y736" s="275">
        <f t="shared" si="21"/>
        <v>1289860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5" customHeight="1" x14ac:dyDescent="0.35">
      <c r="A737" s="209" t="str">
        <f>RIGHT($C$83,3)&amp;"*"&amp;RIGHT($C$82,4)&amp;"*"&amp;F$55&amp;"*"&amp;"A"</f>
        <v>147*2018*6100*A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5" customHeight="1" x14ac:dyDescent="0.35">
      <c r="A738" s="209" t="str">
        <f>RIGHT($C$83,3)&amp;"*"&amp;RIGHT($C$82,4)&amp;"*"&amp;G$55&amp;"*"&amp;"A"</f>
        <v>147*2018*6120*A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5" customHeight="1" x14ac:dyDescent="0.35">
      <c r="A739" s="209" t="str">
        <f>RIGHT($C$83,3)&amp;"*"&amp;RIGHT($C$82,4)&amp;"*"&amp;H$55&amp;"*"&amp;"A"</f>
        <v>147*2018*6140*A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5" customHeight="1" x14ac:dyDescent="0.35">
      <c r="A740" s="209" t="str">
        <f>RIGHT($C$83,3)&amp;"*"&amp;RIGHT($C$82,4)&amp;"*"&amp;I$55&amp;"*"&amp;"A"</f>
        <v>147*2018*6150*A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5" customHeight="1" x14ac:dyDescent="0.35">
      <c r="A741" s="209" t="str">
        <f>RIGHT($C$83,3)&amp;"*"&amp;RIGHT($C$82,4)&amp;"*"&amp;J$55&amp;"*"&amp;"A"</f>
        <v>147*2018*6170*A</v>
      </c>
      <c r="B741" s="275">
        <f>ROUND(J59,0)</f>
        <v>387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397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419653</v>
      </c>
      <c r="O741" s="275">
        <f>ROUND(J73,0)</f>
        <v>416629</v>
      </c>
      <c r="P741" s="275">
        <f>IF(J76&gt;0,ROUND(J76,0),0)</f>
        <v>142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21069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5" customHeight="1" x14ac:dyDescent="0.35">
      <c r="A742" s="209" t="str">
        <f>RIGHT($C$83,3)&amp;"*"&amp;RIGHT($C$82,4)&amp;"*"&amp;K$55&amp;"*"&amp;"A"</f>
        <v>147*2018*6200*A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5" customHeight="1" x14ac:dyDescent="0.35">
      <c r="A743" s="209" t="str">
        <f>RIGHT($C$83,3)&amp;"*"&amp;RIGHT($C$82,4)&amp;"*"&amp;L$55&amp;"*"&amp;"A"</f>
        <v>147*2018*6210*A</v>
      </c>
      <c r="B743" s="275">
        <f>ROUND(L59,0)</f>
        <v>49</v>
      </c>
      <c r="C743" s="277">
        <f>ROUND(L60,2)</f>
        <v>0</v>
      </c>
      <c r="D743" s="275">
        <f>ROUND(L61,0)</f>
        <v>46473</v>
      </c>
      <c r="E743" s="275">
        <f>ROUND(L62,0)</f>
        <v>11924</v>
      </c>
      <c r="F743" s="275">
        <f>ROUND(L63,0)</f>
        <v>10844</v>
      </c>
      <c r="G743" s="275">
        <f>ROUND(L64,0)</f>
        <v>1685</v>
      </c>
      <c r="H743" s="275">
        <f>ROUND(L65,0)</f>
        <v>0</v>
      </c>
      <c r="I743" s="275">
        <f>ROUND(L66,0)</f>
        <v>4204</v>
      </c>
      <c r="J743" s="275">
        <f>ROUND(L67,0)</f>
        <v>942</v>
      </c>
      <c r="K743" s="275">
        <f>ROUND(L68,0)</f>
        <v>1499</v>
      </c>
      <c r="L743" s="275">
        <f>ROUND(L69,0)</f>
        <v>64</v>
      </c>
      <c r="M743" s="275">
        <f>ROUND(L70,0)</f>
        <v>0</v>
      </c>
      <c r="N743" s="275">
        <f>ROUND(L75,0)</f>
        <v>62631</v>
      </c>
      <c r="O743" s="275">
        <f>ROUND(L73,0)</f>
        <v>62631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6559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5" customHeight="1" x14ac:dyDescent="0.35">
      <c r="A744" s="209" t="str">
        <f>RIGHT($C$83,3)&amp;"*"&amp;RIGHT($C$82,4)&amp;"*"&amp;M$55&amp;"*"&amp;"A"</f>
        <v>147*2018*6330*A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5" customHeight="1" x14ac:dyDescent="0.35">
      <c r="A745" s="209" t="str">
        <f>RIGHT($C$83,3)&amp;"*"&amp;RIGHT($C$82,4)&amp;"*"&amp;N$55&amp;"*"&amp;"A"</f>
        <v>147*2018*6400*A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5" customHeight="1" x14ac:dyDescent="0.35">
      <c r="A746" s="209" t="str">
        <f>RIGHT($C$83,3)&amp;"*"&amp;RIGHT($C$82,4)&amp;"*"&amp;O$55&amp;"*"&amp;"A"</f>
        <v>147*2018*7010*A</v>
      </c>
      <c r="B746" s="275">
        <f>ROUND(O59,0)</f>
        <v>216</v>
      </c>
      <c r="C746" s="277">
        <f>ROUND(O60,2)</f>
        <v>5.42</v>
      </c>
      <c r="D746" s="275">
        <f>ROUND(O61,0)</f>
        <v>470870</v>
      </c>
      <c r="E746" s="275">
        <f>ROUND(O62,0)</f>
        <v>142905</v>
      </c>
      <c r="F746" s="275">
        <f>ROUND(O63,0)</f>
        <v>546819</v>
      </c>
      <c r="G746" s="275">
        <f>ROUND(O64,0)</f>
        <v>31383</v>
      </c>
      <c r="H746" s="275">
        <f>ROUND(O65,0)</f>
        <v>0</v>
      </c>
      <c r="I746" s="275">
        <f>ROUND(O66,0)</f>
        <v>51081</v>
      </c>
      <c r="J746" s="275">
        <f>ROUND(O67,0)</f>
        <v>45748</v>
      </c>
      <c r="K746" s="275">
        <f>ROUND(O68,0)</f>
        <v>7427</v>
      </c>
      <c r="L746" s="275">
        <f>ROUND(O69,0)</f>
        <v>2460</v>
      </c>
      <c r="M746" s="275">
        <f>ROUND(O70,0)</f>
        <v>0</v>
      </c>
      <c r="N746" s="275">
        <f>ROUND(O75,0)</f>
        <v>1248475</v>
      </c>
      <c r="O746" s="275">
        <f>ROUND(O73,0)</f>
        <v>1145924</v>
      </c>
      <c r="P746" s="275">
        <f>IF(O76&gt;0,ROUND(O76,0),0)</f>
        <v>1533</v>
      </c>
      <c r="Q746" s="275">
        <f>IF(O77&gt;0,ROUND(O77,0),0)</f>
        <v>2058</v>
      </c>
      <c r="R746" s="275">
        <f>IF(O78&gt;0,ROUND(O78,0),0)</f>
        <v>743</v>
      </c>
      <c r="S746" s="275">
        <f>IF(O79&gt;0,ROUND(O79,0),0)</f>
        <v>5607</v>
      </c>
      <c r="T746" s="277">
        <f>IF(O80&gt;0,ROUND(O80,2),0)</f>
        <v>4.74</v>
      </c>
      <c r="U746" s="275"/>
      <c r="V746" s="276"/>
      <c r="W746" s="275"/>
      <c r="X746" s="275"/>
      <c r="Y746" s="275">
        <f t="shared" si="21"/>
        <v>363763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5" customHeight="1" x14ac:dyDescent="0.35">
      <c r="A747" s="209" t="str">
        <f>RIGHT($C$83,3)&amp;"*"&amp;RIGHT($C$82,4)&amp;"*"&amp;P$55&amp;"*"&amp;"A"</f>
        <v>147*2018*7020*A</v>
      </c>
      <c r="B747" s="275">
        <f>ROUND(P59,0)</f>
        <v>116968</v>
      </c>
      <c r="C747" s="277">
        <f>ROUND(P60,2)</f>
        <v>9.9600000000000009</v>
      </c>
      <c r="D747" s="275">
        <f>ROUND(P61,0)</f>
        <v>754322</v>
      </c>
      <c r="E747" s="275">
        <f>ROUND(P62,0)</f>
        <v>205235</v>
      </c>
      <c r="F747" s="275">
        <f>ROUND(P63,0)</f>
        <v>30751</v>
      </c>
      <c r="G747" s="275">
        <f>ROUND(P64,0)</f>
        <v>83885</v>
      </c>
      <c r="H747" s="275">
        <f>ROUND(P65,0)</f>
        <v>0</v>
      </c>
      <c r="I747" s="275">
        <f>ROUND(P66,0)</f>
        <v>116160</v>
      </c>
      <c r="J747" s="275">
        <f>ROUND(P67,0)</f>
        <v>316369</v>
      </c>
      <c r="K747" s="275">
        <f>ROUND(P68,0)</f>
        <v>5387</v>
      </c>
      <c r="L747" s="275">
        <f>ROUND(P69,0)</f>
        <v>0</v>
      </c>
      <c r="M747" s="275">
        <f>ROUND(P70,0)</f>
        <v>0</v>
      </c>
      <c r="N747" s="275">
        <f>ROUND(P75,0)</f>
        <v>5664102</v>
      </c>
      <c r="O747" s="275">
        <f>ROUND(P73,0)</f>
        <v>1570778</v>
      </c>
      <c r="P747" s="275">
        <f>IF(P76&gt;0,ROUND(P76,0),0)</f>
        <v>4085</v>
      </c>
      <c r="Q747" s="275">
        <f>IF(P77&gt;0,ROUND(P77,0),0)</f>
        <v>0</v>
      </c>
      <c r="R747" s="275">
        <f>IF(P78&gt;0,ROUND(P78,0),0)</f>
        <v>1293</v>
      </c>
      <c r="S747" s="275">
        <f>IF(P79&gt;0,ROUND(P79,0),0)</f>
        <v>30425</v>
      </c>
      <c r="T747" s="277">
        <f>IF(P80&gt;0,ROUND(P80,2),0)</f>
        <v>3.57</v>
      </c>
      <c r="U747" s="275"/>
      <c r="V747" s="276"/>
      <c r="W747" s="275"/>
      <c r="X747" s="275"/>
      <c r="Y747" s="275">
        <f t="shared" si="21"/>
        <v>561671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5" customHeight="1" x14ac:dyDescent="0.35">
      <c r="A748" s="209" t="str">
        <f>RIGHT($C$83,3)&amp;"*"&amp;RIGHT($C$82,4)&amp;"*"&amp;Q$55&amp;"*"&amp;"A"</f>
        <v>147*2018*7030*A</v>
      </c>
      <c r="B748" s="275">
        <f>ROUND(Q59,0)</f>
        <v>125899</v>
      </c>
      <c r="C748" s="277">
        <f>ROUND(Q60,2)</f>
        <v>4.72</v>
      </c>
      <c r="D748" s="275">
        <f>ROUND(Q61,0)</f>
        <v>451511</v>
      </c>
      <c r="E748" s="275">
        <f>ROUND(Q62,0)</f>
        <v>99330</v>
      </c>
      <c r="F748" s="275">
        <f>ROUND(Q63,0)</f>
        <v>0</v>
      </c>
      <c r="G748" s="275">
        <f>ROUND(Q64,0)</f>
        <v>12584</v>
      </c>
      <c r="H748" s="275">
        <f>ROUND(Q65,0)</f>
        <v>0</v>
      </c>
      <c r="I748" s="275">
        <f>ROUND(Q66,0)</f>
        <v>5416</v>
      </c>
      <c r="J748" s="275">
        <f>ROUND(Q67,0)</f>
        <v>8040</v>
      </c>
      <c r="K748" s="275">
        <f>ROUND(Q68,0)</f>
        <v>31037</v>
      </c>
      <c r="L748" s="275">
        <f>ROUND(Q69,0)</f>
        <v>971</v>
      </c>
      <c r="M748" s="275">
        <f>ROUND(Q70,0)</f>
        <v>0</v>
      </c>
      <c r="N748" s="275">
        <f>ROUND(Q75,0)</f>
        <v>1631440</v>
      </c>
      <c r="O748" s="275">
        <f>ROUND(Q73,0)</f>
        <v>234554</v>
      </c>
      <c r="P748" s="275">
        <f>IF(Q76&gt;0,ROUND(Q76,0),0)</f>
        <v>1211</v>
      </c>
      <c r="Q748" s="275">
        <f>IF(Q77&gt;0,ROUND(Q77,0),0)</f>
        <v>0</v>
      </c>
      <c r="R748" s="275">
        <f>IF(Q78&gt;0,ROUND(Q78,0),0)</f>
        <v>966</v>
      </c>
      <c r="S748" s="275">
        <f>IF(Q79&gt;0,ROUND(Q79,0),0)</f>
        <v>0</v>
      </c>
      <c r="T748" s="277">
        <f>IF(Q80&gt;0,ROUND(Q80,2),0)</f>
        <v>4.1399999999999997</v>
      </c>
      <c r="U748" s="275"/>
      <c r="V748" s="276"/>
      <c r="W748" s="275"/>
      <c r="X748" s="275"/>
      <c r="Y748" s="275">
        <f t="shared" si="21"/>
        <v>211588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5" customHeight="1" x14ac:dyDescent="0.35">
      <c r="A749" s="209" t="str">
        <f>RIGHT($C$83,3)&amp;"*"&amp;RIGHT($C$82,4)&amp;"*"&amp;R$55&amp;"*"&amp;"A"</f>
        <v>147*2018*7040*A</v>
      </c>
      <c r="B749" s="275">
        <f>ROUND(R59,0)</f>
        <v>125724</v>
      </c>
      <c r="C749" s="277">
        <f>ROUND(R60,2)</f>
        <v>0.21</v>
      </c>
      <c r="D749" s="275">
        <f>ROUND(R61,0)</f>
        <v>41960</v>
      </c>
      <c r="E749" s="275">
        <f>ROUND(R62,0)</f>
        <v>9427</v>
      </c>
      <c r="F749" s="275">
        <f>ROUND(R63,0)</f>
        <v>765371</v>
      </c>
      <c r="G749" s="275">
        <f>ROUND(R64,0)</f>
        <v>2169</v>
      </c>
      <c r="H749" s="275">
        <f>ROUND(R65,0)</f>
        <v>0</v>
      </c>
      <c r="I749" s="275">
        <f>ROUND(R66,0)</f>
        <v>3025</v>
      </c>
      <c r="J749" s="275">
        <f>ROUND(R67,0)</f>
        <v>0</v>
      </c>
      <c r="K749" s="275">
        <f>ROUND(R68,0)</f>
        <v>12481</v>
      </c>
      <c r="L749" s="275">
        <f>ROUND(R69,0)</f>
        <v>120</v>
      </c>
      <c r="M749" s="275">
        <f>ROUND(R70,0)</f>
        <v>0</v>
      </c>
      <c r="N749" s="275">
        <f>ROUND(R75,0)</f>
        <v>2145049</v>
      </c>
      <c r="O749" s="275">
        <f>ROUND(R73,0)</f>
        <v>689764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130444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5" customHeight="1" x14ac:dyDescent="0.35">
      <c r="A750" s="209" t="str">
        <f>RIGHT($C$83,3)&amp;"*"&amp;RIGHT($C$82,4)&amp;"*"&amp;S$55&amp;"*"&amp;"A"</f>
        <v>147*2018*7050*A</v>
      </c>
      <c r="B750" s="275"/>
      <c r="C750" s="277">
        <f>ROUND(S60,2)</f>
        <v>2.08</v>
      </c>
      <c r="D750" s="275">
        <f>ROUND(S61,0)</f>
        <v>59500</v>
      </c>
      <c r="E750" s="275">
        <f>ROUND(S62,0)</f>
        <v>29879</v>
      </c>
      <c r="F750" s="275">
        <f>ROUND(S63,0)</f>
        <v>0</v>
      </c>
      <c r="G750" s="275">
        <f>ROUND(S64,0)</f>
        <v>2144202</v>
      </c>
      <c r="H750" s="275">
        <f>ROUND(S65,0)</f>
        <v>0</v>
      </c>
      <c r="I750" s="275">
        <f>ROUND(S66,0)</f>
        <v>10683</v>
      </c>
      <c r="J750" s="275">
        <f>ROUND(S67,0)</f>
        <v>5304</v>
      </c>
      <c r="K750" s="275">
        <f>ROUND(S68,0)</f>
        <v>0</v>
      </c>
      <c r="L750" s="275">
        <f>ROUND(S69,0)</f>
        <v>0</v>
      </c>
      <c r="M750" s="275">
        <f>ROUND(S70,0)</f>
        <v>2422</v>
      </c>
      <c r="N750" s="275">
        <f>ROUND(S75,0)</f>
        <v>6888345</v>
      </c>
      <c r="O750" s="275">
        <f>ROUND(S73,0)</f>
        <v>2014356</v>
      </c>
      <c r="P750" s="275">
        <f>IF(S76&gt;0,ROUND(S76,0),0)</f>
        <v>1628</v>
      </c>
      <c r="Q750" s="275">
        <f>IF(S77&gt;0,ROUND(S77,0),0)</f>
        <v>0</v>
      </c>
      <c r="R750" s="275">
        <f>IF(S78&gt;0,ROUND(S78,0),0)</f>
        <v>182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524770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5" customHeight="1" x14ac:dyDescent="0.35">
      <c r="A751" s="209" t="str">
        <f>RIGHT($C$83,3)&amp;"*"&amp;RIGHT($C$82,4)&amp;"*"&amp;T$55&amp;"*"&amp;"A"</f>
        <v>147*2018*7060*A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5" customHeight="1" x14ac:dyDescent="0.35">
      <c r="A752" s="209" t="str">
        <f>RIGHT($C$83,3)&amp;"*"&amp;RIGHT($C$82,4)&amp;"*"&amp;U$55&amp;"*"&amp;"A"</f>
        <v>147*2018*7070*A</v>
      </c>
      <c r="B752" s="275">
        <f>ROUND(U59,0)</f>
        <v>73713</v>
      </c>
      <c r="C752" s="277">
        <f>ROUND(U60,2)</f>
        <v>8.66</v>
      </c>
      <c r="D752" s="275">
        <f>ROUND(U61,0)</f>
        <v>540667</v>
      </c>
      <c r="E752" s="275">
        <f>ROUND(U62,0)</f>
        <v>133997</v>
      </c>
      <c r="F752" s="275">
        <f>ROUND(U63,0)</f>
        <v>80586</v>
      </c>
      <c r="G752" s="275">
        <f>ROUND(U64,0)</f>
        <v>422281</v>
      </c>
      <c r="H752" s="275">
        <f>ROUND(U65,0)</f>
        <v>0</v>
      </c>
      <c r="I752" s="275">
        <f>ROUND(U66,0)</f>
        <v>132853</v>
      </c>
      <c r="J752" s="275">
        <f>ROUND(U67,0)</f>
        <v>25869</v>
      </c>
      <c r="K752" s="275">
        <f>ROUND(U68,0)</f>
        <v>60434</v>
      </c>
      <c r="L752" s="275">
        <f>ROUND(U69,0)</f>
        <v>1697</v>
      </c>
      <c r="M752" s="275">
        <f>ROUND(U70,0)</f>
        <v>0</v>
      </c>
      <c r="N752" s="275">
        <f>ROUND(U75,0)</f>
        <v>6367391</v>
      </c>
      <c r="O752" s="275">
        <f>ROUND(U73,0)</f>
        <v>1187586</v>
      </c>
      <c r="P752" s="275">
        <f>IF(U76&gt;0,ROUND(U76,0),0)</f>
        <v>1213</v>
      </c>
      <c r="Q752" s="275">
        <f>IF(U77&gt;0,ROUND(U77,0),0)</f>
        <v>0</v>
      </c>
      <c r="R752" s="275">
        <f>IF(U78&gt;0,ROUND(U78,0),0)</f>
        <v>564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413561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5" customHeight="1" x14ac:dyDescent="0.35">
      <c r="A753" s="209" t="str">
        <f>RIGHT($C$83,3)&amp;"*"&amp;RIGHT($C$82,4)&amp;"*"&amp;V$55&amp;"*"&amp;"A"</f>
        <v>147*2018*7110*A</v>
      </c>
      <c r="B753" s="275">
        <f>ROUND(V59,0)</f>
        <v>2350</v>
      </c>
      <c r="C753" s="277">
        <f>ROUND(V60,2)</f>
        <v>0</v>
      </c>
      <c r="D753" s="275">
        <f>ROUND(V61,0)</f>
        <v>930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366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251602</v>
      </c>
      <c r="O753" s="275">
        <f>ROUND(V73,0)</f>
        <v>33822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10341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5" customHeight="1" x14ac:dyDescent="0.35">
      <c r="A754" s="209" t="str">
        <f>RIGHT($C$83,3)&amp;"*"&amp;RIGHT($C$82,4)&amp;"*"&amp;W$55&amp;"*"&amp;"A"</f>
        <v>147*2018*7120*A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5" customHeight="1" x14ac:dyDescent="0.35">
      <c r="A755" s="209" t="str">
        <f>RIGHT($C$83,3)&amp;"*"&amp;RIGHT($C$82,4)&amp;"*"&amp;X$55&amp;"*"&amp;"A"</f>
        <v>147*2018*7130*A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5" customHeight="1" x14ac:dyDescent="0.35">
      <c r="A756" s="209" t="str">
        <f>RIGHT($C$83,3)&amp;"*"&amp;RIGHT($C$82,4)&amp;"*"&amp;Y$55&amp;"*"&amp;"A"</f>
        <v>147*2018*7140*A</v>
      </c>
      <c r="B756" s="275">
        <f>ROUND(Y59,0)</f>
        <v>0</v>
      </c>
      <c r="C756" s="277">
        <f>ROUND(Y60,2)</f>
        <v>10.97</v>
      </c>
      <c r="D756" s="275">
        <f>ROUND(Y61,0)</f>
        <v>805238</v>
      </c>
      <c r="E756" s="275">
        <f>ROUND(Y62,0)</f>
        <v>204943</v>
      </c>
      <c r="F756" s="275">
        <f>ROUND(Y63,0)</f>
        <v>792721</v>
      </c>
      <c r="G756" s="275">
        <f>ROUND(Y64,0)</f>
        <v>301077</v>
      </c>
      <c r="H756" s="275">
        <f>ROUND(Y65,0)</f>
        <v>0</v>
      </c>
      <c r="I756" s="275">
        <f>ROUND(Y66,0)</f>
        <v>456305</v>
      </c>
      <c r="J756" s="275">
        <f>ROUND(Y67,0)</f>
        <v>373052</v>
      </c>
      <c r="K756" s="275">
        <f>ROUND(Y68,0)</f>
        <v>82838</v>
      </c>
      <c r="L756" s="275">
        <f>ROUND(Y69,0)</f>
        <v>10792</v>
      </c>
      <c r="M756" s="275">
        <f>ROUND(Y70,0)</f>
        <v>0</v>
      </c>
      <c r="N756" s="275">
        <f>ROUND(Y75,0)</f>
        <v>16645309</v>
      </c>
      <c r="O756" s="275">
        <f>ROUND(Y73,0)</f>
        <v>876252</v>
      </c>
      <c r="P756" s="275">
        <f>IF(Y76&gt;0,ROUND(Y76,0),0)</f>
        <v>5596</v>
      </c>
      <c r="Q756" s="275">
        <f>IF(Y77&gt;0,ROUND(Y77,0),0)</f>
        <v>0</v>
      </c>
      <c r="R756" s="275">
        <f>IF(Y78&gt;0,ROUND(Y78,0),0)</f>
        <v>1024</v>
      </c>
      <c r="S756" s="275">
        <f>IF(Y79&gt;0,ROUND(Y79,0),0)</f>
        <v>11687</v>
      </c>
      <c r="T756" s="277">
        <f>IF(Y80&gt;0,ROUND(Y80,2),0)</f>
        <v>0.27</v>
      </c>
      <c r="U756" s="275"/>
      <c r="V756" s="276"/>
      <c r="W756" s="275"/>
      <c r="X756" s="275"/>
      <c r="Y756" s="275">
        <f t="shared" si="21"/>
        <v>1070825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5" customHeight="1" x14ac:dyDescent="0.35">
      <c r="A757" s="209" t="str">
        <f>RIGHT($C$83,3)&amp;"*"&amp;RIGHT($C$82,4)&amp;"*"&amp;Z$55&amp;"*"&amp;"A"</f>
        <v>147*2018*7150*A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5" customHeight="1" x14ac:dyDescent="0.35">
      <c r="A758" s="209" t="str">
        <f>RIGHT($C$83,3)&amp;"*"&amp;RIGHT($C$82,4)&amp;"*"&amp;AA$55&amp;"*"&amp;"A"</f>
        <v>147*2018*7160*A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5" customHeight="1" x14ac:dyDescent="0.35">
      <c r="A759" s="209" t="str">
        <f>RIGHT($C$83,3)&amp;"*"&amp;RIGHT($C$82,4)&amp;"*"&amp;AB$55&amp;"*"&amp;"A"</f>
        <v>147*2018*7170*A</v>
      </c>
      <c r="B759" s="275"/>
      <c r="C759" s="277">
        <f>ROUND(AB60,2)</f>
        <v>2.0299999999999998</v>
      </c>
      <c r="D759" s="275">
        <f>ROUND(AB61,0)</f>
        <v>183173</v>
      </c>
      <c r="E759" s="275">
        <f>ROUND(AB62,0)</f>
        <v>41473</v>
      </c>
      <c r="F759" s="275">
        <f>ROUND(AB63,0)</f>
        <v>71930</v>
      </c>
      <c r="G759" s="275">
        <f>ROUND(AB64,0)</f>
        <v>480029</v>
      </c>
      <c r="H759" s="275">
        <f>ROUND(AB65,0)</f>
        <v>0</v>
      </c>
      <c r="I759" s="275">
        <f>ROUND(AB66,0)</f>
        <v>17169</v>
      </c>
      <c r="J759" s="275">
        <f>ROUND(AB67,0)</f>
        <v>1643</v>
      </c>
      <c r="K759" s="275">
        <f>ROUND(AB68,0)</f>
        <v>4577</v>
      </c>
      <c r="L759" s="275">
        <f>ROUND(AB69,0)</f>
        <v>545</v>
      </c>
      <c r="M759" s="275">
        <f>ROUND(AB70,0)</f>
        <v>16567</v>
      </c>
      <c r="N759" s="275">
        <f>ROUND(AB75,0)</f>
        <v>2918947</v>
      </c>
      <c r="O759" s="275">
        <f>ROUND(AB73,0)</f>
        <v>761087</v>
      </c>
      <c r="P759" s="275">
        <f>IF(AB76&gt;0,ROUND(AB76,0),0)</f>
        <v>588</v>
      </c>
      <c r="Q759" s="275">
        <f>IF(AB77&gt;0,ROUND(AB77,0),0)</f>
        <v>0</v>
      </c>
      <c r="R759" s="275">
        <f>IF(AB78&gt;0,ROUND(AB78,0),0)</f>
        <v>144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200378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5" customHeight="1" x14ac:dyDescent="0.35">
      <c r="A760" s="209" t="str">
        <f>RIGHT($C$83,3)&amp;"*"&amp;RIGHT($C$82,4)&amp;"*"&amp;AC$55&amp;"*"&amp;"A"</f>
        <v>147*2018*7180*A</v>
      </c>
      <c r="B760" s="275">
        <f>ROUND(AC59,0)</f>
        <v>1432</v>
      </c>
      <c r="C760" s="277">
        <f>ROUND(AC60,2)</f>
        <v>2.94</v>
      </c>
      <c r="D760" s="275">
        <f>ROUND(AC61,0)</f>
        <v>225195</v>
      </c>
      <c r="E760" s="275">
        <f>ROUND(AC62,0)</f>
        <v>54540</v>
      </c>
      <c r="F760" s="275">
        <f>ROUND(AC63,0)</f>
        <v>0</v>
      </c>
      <c r="G760" s="275">
        <f>ROUND(AC64,0)</f>
        <v>27446</v>
      </c>
      <c r="H760" s="275">
        <f>ROUND(AC65,0)</f>
        <v>0</v>
      </c>
      <c r="I760" s="275">
        <f>ROUND(AC66,0)</f>
        <v>8962</v>
      </c>
      <c r="J760" s="275">
        <f>ROUND(AC67,0)</f>
        <v>12680</v>
      </c>
      <c r="K760" s="275">
        <f>ROUND(AC68,0)</f>
        <v>21060</v>
      </c>
      <c r="L760" s="275">
        <f>ROUND(AC69,0)</f>
        <v>913</v>
      </c>
      <c r="M760" s="275">
        <f>ROUND(AC70,0)</f>
        <v>0</v>
      </c>
      <c r="N760" s="275">
        <f>ROUND(AC75,0)</f>
        <v>580047</v>
      </c>
      <c r="O760" s="275">
        <f>ROUND(AC73,0)</f>
        <v>248636</v>
      </c>
      <c r="P760" s="275">
        <f>IF(AC76&gt;0,ROUND(AC76,0),0)</f>
        <v>394</v>
      </c>
      <c r="Q760" s="275">
        <f>IF(AC77&gt;0,ROUND(AC77,0),0)</f>
        <v>0</v>
      </c>
      <c r="R760" s="275">
        <f>IF(AC78&gt;0,ROUND(AC78,0),0)</f>
        <v>112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62384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5" customHeight="1" x14ac:dyDescent="0.35">
      <c r="A761" s="209" t="str">
        <f>RIGHT($C$83,3)&amp;"*"&amp;RIGHT($C$82,4)&amp;"*"&amp;AD$55&amp;"*"&amp;"A"</f>
        <v>147*2018*7190*A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5" customHeight="1" x14ac:dyDescent="0.35">
      <c r="A762" s="209" t="str">
        <f>RIGHT($C$83,3)&amp;"*"&amp;RIGHT($C$82,4)&amp;"*"&amp;AE$55&amp;"*"&amp;"A"</f>
        <v>147*2018*7200*A</v>
      </c>
      <c r="B762" s="275">
        <f>ROUND(AE59,0)</f>
        <v>12540</v>
      </c>
      <c r="C762" s="277">
        <f>ROUND(AE60,2)</f>
        <v>6.17</v>
      </c>
      <c r="D762" s="275">
        <f>ROUND(AE61,0)</f>
        <v>446500</v>
      </c>
      <c r="E762" s="275">
        <f>ROUND(AE62,0)</f>
        <v>115333</v>
      </c>
      <c r="F762" s="275">
        <f>ROUND(AE63,0)</f>
        <v>0</v>
      </c>
      <c r="G762" s="275">
        <f>ROUND(AE64,0)</f>
        <v>15213</v>
      </c>
      <c r="H762" s="275">
        <f>ROUND(AE65,0)</f>
        <v>0</v>
      </c>
      <c r="I762" s="275">
        <f>ROUND(AE66,0)</f>
        <v>27288</v>
      </c>
      <c r="J762" s="275">
        <f>ROUND(AE67,0)</f>
        <v>6573</v>
      </c>
      <c r="K762" s="275">
        <f>ROUND(AE68,0)</f>
        <v>1352</v>
      </c>
      <c r="L762" s="275">
        <f>ROUND(AE69,0)</f>
        <v>8012</v>
      </c>
      <c r="M762" s="275">
        <f>ROUND(AE70,0)</f>
        <v>9668</v>
      </c>
      <c r="N762" s="275">
        <f>ROUND(AE75,0)</f>
        <v>1695531</v>
      </c>
      <c r="O762" s="275">
        <f>ROUND(AE73,0)</f>
        <v>67705</v>
      </c>
      <c r="P762" s="275">
        <f>IF(AE76&gt;0,ROUND(AE76,0),0)</f>
        <v>2332</v>
      </c>
      <c r="Q762" s="275">
        <f>IF(AE77&gt;0,ROUND(AE77,0),0)</f>
        <v>0</v>
      </c>
      <c r="R762" s="275">
        <f>IF(AE78&gt;0,ROUND(AE78,0),0)</f>
        <v>323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186921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5" customHeight="1" x14ac:dyDescent="0.35">
      <c r="A763" s="209" t="str">
        <f>RIGHT($C$83,3)&amp;"*"&amp;RIGHT($C$82,4)&amp;"*"&amp;AF$55&amp;"*"&amp;"A"</f>
        <v>147*2018*7220*A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5" customHeight="1" x14ac:dyDescent="0.35">
      <c r="A764" s="209" t="str">
        <f>RIGHT($C$83,3)&amp;"*"&amp;RIGHT($C$82,4)&amp;"*"&amp;AG$55&amp;"*"&amp;"A"</f>
        <v>147*2018*7230*A</v>
      </c>
      <c r="B764" s="275">
        <f>ROUND(AG59,0)</f>
        <v>8824</v>
      </c>
      <c r="C764" s="277">
        <f>ROUND(AG60,2)</f>
        <v>20.82</v>
      </c>
      <c r="D764" s="275">
        <f>ROUND(AG61,0)</f>
        <v>1526279</v>
      </c>
      <c r="E764" s="275">
        <f>ROUND(AG62,0)</f>
        <v>338896</v>
      </c>
      <c r="F764" s="275">
        <f>ROUND(AG63,0)</f>
        <v>1718484</v>
      </c>
      <c r="G764" s="275">
        <f>ROUND(AG64,0)</f>
        <v>79027</v>
      </c>
      <c r="H764" s="275">
        <f>ROUND(AG65,0)</f>
        <v>0</v>
      </c>
      <c r="I764" s="275">
        <f>ROUND(AG66,0)</f>
        <v>77831</v>
      </c>
      <c r="J764" s="275">
        <f>ROUND(AG67,0)</f>
        <v>166614</v>
      </c>
      <c r="K764" s="275">
        <f>ROUND(AG68,0)</f>
        <v>13518</v>
      </c>
      <c r="L764" s="275">
        <f>ROUND(AG69,0)</f>
        <v>5607</v>
      </c>
      <c r="M764" s="275">
        <f>ROUND(AG70,0)</f>
        <v>0</v>
      </c>
      <c r="N764" s="275">
        <f>ROUND(AG75,0)</f>
        <v>6837644</v>
      </c>
      <c r="O764" s="275">
        <f>ROUND(AG73,0)</f>
        <v>266775</v>
      </c>
      <c r="P764" s="275">
        <f>IF(AG76&gt;0,ROUND(AG76,0),0)</f>
        <v>3601</v>
      </c>
      <c r="Q764" s="275">
        <f>IF(AG77&gt;0,ROUND(AG77,0),0)</f>
        <v>0</v>
      </c>
      <c r="R764" s="275">
        <f>IF(AG78&gt;0,ROUND(AG78,0),0)</f>
        <v>3880</v>
      </c>
      <c r="S764" s="275">
        <f>IF(AG79&gt;0,ROUND(AG79,0),0)</f>
        <v>14134</v>
      </c>
      <c r="T764" s="277">
        <f>IF(AG80&gt;0,ROUND(AG80,2),0)</f>
        <v>7.98</v>
      </c>
      <c r="U764" s="275"/>
      <c r="V764" s="276"/>
      <c r="W764" s="275"/>
      <c r="X764" s="275"/>
      <c r="Y764" s="275">
        <f t="shared" si="21"/>
        <v>842519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5" customHeight="1" x14ac:dyDescent="0.35">
      <c r="A765" s="209" t="str">
        <f>RIGHT($C$83,3)&amp;"*"&amp;RIGHT($C$82,4)&amp;"*"&amp;AH$55&amp;"*"&amp;"A"</f>
        <v>147*2018*7240*A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5" customHeight="1" x14ac:dyDescent="0.35">
      <c r="A766" s="209" t="str">
        <f>RIGHT($C$83,3)&amp;"*"&amp;RIGHT($C$82,4)&amp;"*"&amp;AI$55&amp;"*"&amp;"A"</f>
        <v>147*2018*7250*A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5" customHeight="1" x14ac:dyDescent="0.35">
      <c r="A767" s="209" t="str">
        <f>RIGHT($C$83,3)&amp;"*"&amp;RIGHT($C$82,4)&amp;"*"&amp;AJ$55&amp;"*"&amp;"A"</f>
        <v>147*2018*7260*A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5" customHeight="1" x14ac:dyDescent="0.35">
      <c r="A768" s="209" t="str">
        <f>RIGHT($C$83,3)&amp;"*"&amp;RIGHT($C$82,4)&amp;"*"&amp;AK$55&amp;"*"&amp;"A"</f>
        <v>147*2018*7310*A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5" customHeight="1" x14ac:dyDescent="0.35">
      <c r="A769" s="209" t="str">
        <f>RIGHT($C$83,3)&amp;"*"&amp;RIGHT($C$82,4)&amp;"*"&amp;AL$55&amp;"*"&amp;"A"</f>
        <v>147*2018*7320*A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5" customHeight="1" x14ac:dyDescent="0.35">
      <c r="A770" s="209" t="str">
        <f>RIGHT($C$83,3)&amp;"*"&amp;RIGHT($C$82,4)&amp;"*"&amp;AM$55&amp;"*"&amp;"A"</f>
        <v>147*2018*7330*A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5" customHeight="1" x14ac:dyDescent="0.35">
      <c r="A771" s="209" t="str">
        <f>RIGHT($C$83,3)&amp;"*"&amp;RIGHT($C$82,4)&amp;"*"&amp;AN$55&amp;"*"&amp;"A"</f>
        <v>147*2018*7340*A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5" customHeight="1" x14ac:dyDescent="0.35">
      <c r="A772" s="209" t="str">
        <f>RIGHT($C$83,3)&amp;"*"&amp;RIGHT($C$82,4)&amp;"*"&amp;AO$55&amp;"*"&amp;"A"</f>
        <v>147*2018*7350*A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5" customHeight="1" x14ac:dyDescent="0.35">
      <c r="A773" s="209" t="str">
        <f>RIGHT($C$83,3)&amp;"*"&amp;RIGHT($C$82,4)&amp;"*"&amp;AP$55&amp;"*"&amp;"A"</f>
        <v>147*2018*7380*A</v>
      </c>
      <c r="B773" s="275">
        <f>ROUND(AP59,0)</f>
        <v>19884</v>
      </c>
      <c r="C773" s="277">
        <f>ROUND(AP60,2)</f>
        <v>37.380000000000003</v>
      </c>
      <c r="D773" s="275">
        <f>ROUND(AP61,0)</f>
        <v>3962398</v>
      </c>
      <c r="E773" s="275">
        <f>ROUND(AP62,0)</f>
        <v>774073</v>
      </c>
      <c r="F773" s="275">
        <f>ROUND(AP63,0)</f>
        <v>17124</v>
      </c>
      <c r="G773" s="275">
        <f>ROUND(AP64,0)</f>
        <v>174861</v>
      </c>
      <c r="H773" s="275">
        <f>ROUND(AP65,0)</f>
        <v>43685</v>
      </c>
      <c r="I773" s="275">
        <f>ROUND(AP66,0)</f>
        <v>176083</v>
      </c>
      <c r="J773" s="275">
        <f>ROUND(AP67,0)</f>
        <v>99144</v>
      </c>
      <c r="K773" s="275">
        <f>ROUND(AP68,0)</f>
        <v>13326</v>
      </c>
      <c r="L773" s="275">
        <f>ROUND(AP69,0)</f>
        <v>54719</v>
      </c>
      <c r="M773" s="275">
        <f>ROUND(AP70,0)</f>
        <v>39053</v>
      </c>
      <c r="N773" s="275">
        <f>ROUND(AP75,0)</f>
        <v>8039558</v>
      </c>
      <c r="O773" s="275">
        <f>ROUND(AP73,0)</f>
        <v>1204063</v>
      </c>
      <c r="P773" s="275">
        <f>IF(AP76&gt;0,ROUND(AP76,0),0)</f>
        <v>15629</v>
      </c>
      <c r="Q773" s="275">
        <f>IF(AP77&gt;0,ROUND(AP77,0),0)</f>
        <v>0</v>
      </c>
      <c r="R773" s="275">
        <f>IF(AP78&gt;0,ROUND(AP78,0),0)</f>
        <v>1680</v>
      </c>
      <c r="S773" s="275">
        <f>IF(AP79&gt;0,ROUND(AP79,0),0)</f>
        <v>0</v>
      </c>
      <c r="T773" s="277">
        <f>IF(AP80&gt;0,ROUND(AP80,2),0)</f>
        <v>11.58</v>
      </c>
      <c r="U773" s="275"/>
      <c r="V773" s="276"/>
      <c r="W773" s="275"/>
      <c r="X773" s="275"/>
      <c r="Y773" s="275">
        <f t="shared" si="21"/>
        <v>1268725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5" customHeight="1" x14ac:dyDescent="0.35">
      <c r="A774" s="209" t="str">
        <f>RIGHT($C$83,3)&amp;"*"&amp;RIGHT($C$82,4)&amp;"*"&amp;AQ$55&amp;"*"&amp;"A"</f>
        <v>147*2018*7390*A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5" customHeight="1" x14ac:dyDescent="0.35">
      <c r="A775" s="209" t="str">
        <f>RIGHT($C$83,3)&amp;"*"&amp;RIGHT($C$82,4)&amp;"*"&amp;AR$55&amp;"*"&amp;"A"</f>
        <v>147*2018*7400*A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5" customHeight="1" x14ac:dyDescent="0.35">
      <c r="A776" s="209" t="str">
        <f>RIGHT($C$83,3)&amp;"*"&amp;RIGHT($C$82,4)&amp;"*"&amp;AS$55&amp;"*"&amp;"A"</f>
        <v>147*2018*7410*A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5" customHeight="1" x14ac:dyDescent="0.35">
      <c r="A777" s="209" t="str">
        <f>RIGHT($C$83,3)&amp;"*"&amp;RIGHT($C$82,4)&amp;"*"&amp;AT$55&amp;"*"&amp;"A"</f>
        <v>147*2018*7420*A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5" customHeight="1" x14ac:dyDescent="0.35">
      <c r="A778" s="209" t="str">
        <f>RIGHT($C$83,3)&amp;"*"&amp;RIGHT($C$82,4)&amp;"*"&amp;AU$55&amp;"*"&amp;"A"</f>
        <v>147*2018*7430*A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5" customHeight="1" x14ac:dyDescent="0.35">
      <c r="A779" s="209" t="str">
        <f>RIGHT($C$83,3)&amp;"*"&amp;RIGHT($C$82,4)&amp;"*"&amp;AV$55&amp;"*"&amp;"A"</f>
        <v>147*2018*7490*A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5" customHeight="1" x14ac:dyDescent="0.35">
      <c r="A780" s="209" t="str">
        <f>RIGHT($C$83,3)&amp;"*"&amp;RIGHT($C$82,4)&amp;"*"&amp;AW$55&amp;"*"&amp;"A"</f>
        <v>147*2018*8200*A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5" customHeight="1" x14ac:dyDescent="0.35">
      <c r="A781" s="209" t="str">
        <f>RIGHT($C$83,3)&amp;"*"&amp;RIGHT($C$82,4)&amp;"*"&amp;AX$55&amp;"*"&amp;"A"</f>
        <v>147*2018*8310*A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5" customHeight="1" x14ac:dyDescent="0.35">
      <c r="A782" s="209" t="str">
        <f>RIGHT($C$83,3)&amp;"*"&amp;RIGHT($C$82,4)&amp;"*"&amp;AY$55&amp;"*"&amp;"A"</f>
        <v>147*2018*8320*A</v>
      </c>
      <c r="B782" s="275">
        <f>ROUND(AY59,0)</f>
        <v>8233</v>
      </c>
      <c r="C782" s="277">
        <f>ROUND(AY60,2)</f>
        <v>5.84</v>
      </c>
      <c r="D782" s="275">
        <f>ROUND(AY61,0)</f>
        <v>221406</v>
      </c>
      <c r="E782" s="275">
        <f>ROUND(AY62,0)</f>
        <v>91602</v>
      </c>
      <c r="F782" s="275">
        <f>ROUND(AY63,0)</f>
        <v>0</v>
      </c>
      <c r="G782" s="275">
        <f>ROUND(AY64,0)</f>
        <v>153494</v>
      </c>
      <c r="H782" s="275">
        <f>ROUND(AY65,0)</f>
        <v>0</v>
      </c>
      <c r="I782" s="275">
        <f>ROUND(AY66,0)</f>
        <v>6123</v>
      </c>
      <c r="J782" s="275">
        <f>ROUND(AY67,0)</f>
        <v>12997</v>
      </c>
      <c r="K782" s="275">
        <f>ROUND(AY68,0)</f>
        <v>0</v>
      </c>
      <c r="L782" s="275">
        <f>ROUND(AY69,0)</f>
        <v>1177</v>
      </c>
      <c r="M782" s="275">
        <f>ROUND(AY70,0)</f>
        <v>108713</v>
      </c>
      <c r="N782" s="275"/>
      <c r="O782" s="275"/>
      <c r="P782" s="275">
        <f>IF(AY76&gt;0,ROUND(AY76,0),0)</f>
        <v>2154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5" customHeight="1" x14ac:dyDescent="0.35">
      <c r="A783" s="209" t="str">
        <f>RIGHT($C$83,3)&amp;"*"&amp;RIGHT($C$82,4)&amp;"*"&amp;AZ$55&amp;"*"&amp;"A"</f>
        <v>147*2018*8330*A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5" customHeight="1" x14ac:dyDescent="0.35">
      <c r="A784" s="209" t="str">
        <f>RIGHT($C$83,3)&amp;"*"&amp;RIGHT($C$82,4)&amp;"*"&amp;BA$55&amp;"*"&amp;"A"</f>
        <v>147*2018*8350*A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132438</v>
      </c>
      <c r="J784" s="275">
        <f>ROUND(BA67,0)</f>
        <v>1414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506</v>
      </c>
      <c r="Q784" s="275">
        <f>IF(BA77&gt;0,ROUND(BA77,0),0)</f>
        <v>0</v>
      </c>
      <c r="R784" s="275">
        <f>IF(BA78&gt;0,ROUND(BA78,0),0)</f>
        <v>323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5" customHeight="1" x14ac:dyDescent="0.35">
      <c r="A785" s="209" t="str">
        <f>RIGHT($C$83,3)&amp;"*"&amp;RIGHT($C$82,4)&amp;"*"&amp;BB$55&amp;"*"&amp;"A"</f>
        <v>147*2018*8360*A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5" customHeight="1" x14ac:dyDescent="0.35">
      <c r="A786" s="209" t="str">
        <f>RIGHT($C$83,3)&amp;"*"&amp;RIGHT($C$82,4)&amp;"*"&amp;BC$55&amp;"*"&amp;"A"</f>
        <v>147*2018*8370*A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5" customHeight="1" x14ac:dyDescent="0.35">
      <c r="A787" s="209" t="str">
        <f>RIGHT($C$83,3)&amp;"*"&amp;RIGHT($C$82,4)&amp;"*"&amp;BD$55&amp;"*"&amp;"A"</f>
        <v>147*2018*8420*A</v>
      </c>
      <c r="B787" s="275"/>
      <c r="C787" s="277">
        <f>ROUND(BD60,2)</f>
        <v>1.81</v>
      </c>
      <c r="D787" s="275">
        <f>ROUND(BD61,0)</f>
        <v>88410</v>
      </c>
      <c r="E787" s="275">
        <f>ROUND(BD62,0)</f>
        <v>30423</v>
      </c>
      <c r="F787" s="275">
        <f>ROUND(BD63,0)</f>
        <v>0</v>
      </c>
      <c r="G787" s="275">
        <f>ROUND(BD64,0)</f>
        <v>738</v>
      </c>
      <c r="H787" s="275">
        <f>ROUND(BD65,0)</f>
        <v>0</v>
      </c>
      <c r="I787" s="275">
        <f>ROUND(BD66,0)</f>
        <v>5136</v>
      </c>
      <c r="J787" s="275">
        <f>ROUND(BD67,0)</f>
        <v>959</v>
      </c>
      <c r="K787" s="275">
        <f>ROUND(BD68,0)</f>
        <v>0</v>
      </c>
      <c r="L787" s="275">
        <f>ROUND(BD69,0)</f>
        <v>2427</v>
      </c>
      <c r="M787" s="275">
        <f>ROUND(BD70,0)</f>
        <v>0</v>
      </c>
      <c r="N787" s="275"/>
      <c r="O787" s="275"/>
      <c r="P787" s="275">
        <f>IF(BD76&gt;0,ROUND(BD76,0),0)</f>
        <v>343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5" customHeight="1" x14ac:dyDescent="0.35">
      <c r="A788" s="209" t="str">
        <f>RIGHT($C$83,3)&amp;"*"&amp;RIGHT($C$82,4)&amp;"*"&amp;BE$55&amp;"*"&amp;"A"</f>
        <v>147*2018*8430*A</v>
      </c>
      <c r="B788" s="275">
        <f>ROUND(BE59,0)</f>
        <v>82579</v>
      </c>
      <c r="C788" s="277">
        <f>ROUND(BE60,2)</f>
        <v>3.12</v>
      </c>
      <c r="D788" s="275">
        <f>ROUND(BE61,0)</f>
        <v>192005</v>
      </c>
      <c r="E788" s="275">
        <f>ROUND(BE62,0)</f>
        <v>54313</v>
      </c>
      <c r="F788" s="275">
        <f>ROUND(BE63,0)</f>
        <v>0</v>
      </c>
      <c r="G788" s="275">
        <f>ROUND(BE64,0)</f>
        <v>38706</v>
      </c>
      <c r="H788" s="275">
        <f>ROUND(BE65,0)</f>
        <v>328289</v>
      </c>
      <c r="I788" s="275">
        <f>ROUND(BE66,0)</f>
        <v>81944</v>
      </c>
      <c r="J788" s="275">
        <f>ROUND(BE67,0)</f>
        <v>97024</v>
      </c>
      <c r="K788" s="275">
        <f>ROUND(BE68,0)</f>
        <v>714</v>
      </c>
      <c r="L788" s="275">
        <f>ROUND(BE69,0)</f>
        <v>2399</v>
      </c>
      <c r="M788" s="275">
        <f>ROUND(BE70,0)</f>
        <v>0</v>
      </c>
      <c r="N788" s="275"/>
      <c r="O788" s="275"/>
      <c r="P788" s="275">
        <f>IF(BE76&gt;0,ROUND(BE76,0),0)</f>
        <v>26400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5" customHeight="1" x14ac:dyDescent="0.35">
      <c r="A789" s="209" t="str">
        <f>RIGHT($C$83,3)&amp;"*"&amp;RIGHT($C$82,4)&amp;"*"&amp;BF$55&amp;"*"&amp;"A"</f>
        <v>147*2018*8460*A</v>
      </c>
      <c r="B789" s="275"/>
      <c r="C789" s="277">
        <f>ROUND(BF60,2)</f>
        <v>9.16</v>
      </c>
      <c r="D789" s="275">
        <f>ROUND(BF61,0)</f>
        <v>308281</v>
      </c>
      <c r="E789" s="275">
        <f>ROUND(BF62,0)</f>
        <v>130148</v>
      </c>
      <c r="F789" s="275">
        <f>ROUND(BF63,0)</f>
        <v>0</v>
      </c>
      <c r="G789" s="275">
        <f>ROUND(BF64,0)</f>
        <v>31440</v>
      </c>
      <c r="H789" s="275">
        <f>ROUND(BF65,0)</f>
        <v>0</v>
      </c>
      <c r="I789" s="275">
        <f>ROUND(BF66,0)</f>
        <v>3003</v>
      </c>
      <c r="J789" s="275">
        <f>ROUND(BF67,0)</f>
        <v>1360</v>
      </c>
      <c r="K789" s="275">
        <f>ROUND(BF68,0)</f>
        <v>0</v>
      </c>
      <c r="L789" s="275">
        <f>ROUND(BF69,0)</f>
        <v>2742</v>
      </c>
      <c r="M789" s="275">
        <f>ROUND(BF70,0)</f>
        <v>0</v>
      </c>
      <c r="N789" s="275"/>
      <c r="O789" s="275"/>
      <c r="P789" s="275">
        <f>IF(BF76&gt;0,ROUND(BF76,0),0)</f>
        <v>350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5" customHeight="1" x14ac:dyDescent="0.35">
      <c r="A790" s="209" t="str">
        <f>RIGHT($C$83,3)&amp;"*"&amp;RIGHT($C$82,4)&amp;"*"&amp;BG$55&amp;"*"&amp;"A"</f>
        <v>147*2018*8470*A</v>
      </c>
      <c r="B790" s="275"/>
      <c r="C790" s="277">
        <f>ROUND(BG60,2)</f>
        <v>0.39</v>
      </c>
      <c r="D790" s="275">
        <f>ROUND(BG61,0)</f>
        <v>24181</v>
      </c>
      <c r="E790" s="275">
        <f>ROUND(BG62,0)</f>
        <v>14831</v>
      </c>
      <c r="F790" s="275">
        <f>ROUND(BG63,0)</f>
        <v>0</v>
      </c>
      <c r="G790" s="275">
        <f>ROUND(BG64,0)</f>
        <v>17</v>
      </c>
      <c r="H790" s="275">
        <f>ROUND(BG65,0)</f>
        <v>79181</v>
      </c>
      <c r="I790" s="275">
        <f>ROUND(BG66,0)</f>
        <v>13459</v>
      </c>
      <c r="J790" s="275">
        <f>ROUND(BG67,0)</f>
        <v>816</v>
      </c>
      <c r="K790" s="275">
        <f>ROUND(BG68,0)</f>
        <v>2771</v>
      </c>
      <c r="L790" s="275">
        <f>ROUND(BG69,0)</f>
        <v>0</v>
      </c>
      <c r="M790" s="275">
        <f>ROUND(BG70,0)</f>
        <v>1178</v>
      </c>
      <c r="N790" s="275"/>
      <c r="O790" s="275"/>
      <c r="P790" s="275">
        <f>IF(BG76&gt;0,ROUND(BG76,0),0)</f>
        <v>292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5" customHeight="1" x14ac:dyDescent="0.35">
      <c r="A791" s="209" t="str">
        <f>RIGHT($C$83,3)&amp;"*"&amp;RIGHT($C$82,4)&amp;"*"&amp;BH$55&amp;"*"&amp;"A"</f>
        <v>147*2018*8480*A</v>
      </c>
      <c r="B791" s="275"/>
      <c r="C791" s="277">
        <f>ROUND(BH60,2)</f>
        <v>2.85</v>
      </c>
      <c r="D791" s="275">
        <f>ROUND(BH61,0)</f>
        <v>212558</v>
      </c>
      <c r="E791" s="275">
        <f>ROUND(BH62,0)</f>
        <v>55193</v>
      </c>
      <c r="F791" s="275">
        <f>ROUND(BH63,0)</f>
        <v>0</v>
      </c>
      <c r="G791" s="275">
        <f>ROUND(BH64,0)</f>
        <v>22321</v>
      </c>
      <c r="H791" s="275">
        <f>ROUND(BH65,0)</f>
        <v>0</v>
      </c>
      <c r="I791" s="275">
        <f>ROUND(BH66,0)</f>
        <v>218004</v>
      </c>
      <c r="J791" s="275">
        <f>ROUND(BH67,0)</f>
        <v>21172</v>
      </c>
      <c r="K791" s="275">
        <f>ROUND(BH68,0)</f>
        <v>27000</v>
      </c>
      <c r="L791" s="275">
        <f>ROUND(BH69,0)</f>
        <v>415</v>
      </c>
      <c r="M791" s="275">
        <f>ROUND(BH70,0)</f>
        <v>0</v>
      </c>
      <c r="N791" s="275"/>
      <c r="O791" s="275"/>
      <c r="P791" s="275">
        <f>IF(BH76&gt;0,ROUND(BH76,0),0)</f>
        <v>652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5" customHeight="1" x14ac:dyDescent="0.35">
      <c r="A792" s="209" t="str">
        <f>RIGHT($C$83,3)&amp;"*"&amp;RIGHT($C$82,4)&amp;"*"&amp;BI$55&amp;"*"&amp;"A"</f>
        <v>147*2018*8490*A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5" customHeight="1" x14ac:dyDescent="0.35">
      <c r="A793" s="209" t="str">
        <f>RIGHT($C$83,3)&amp;"*"&amp;RIGHT($C$82,4)&amp;"*"&amp;BJ$55&amp;"*"&amp;"A"</f>
        <v>147*2018*8510*A</v>
      </c>
      <c r="B793" s="275"/>
      <c r="C793" s="277">
        <f>ROUND(BJ60,2)</f>
        <v>4.09</v>
      </c>
      <c r="D793" s="275">
        <f>ROUND(BJ61,0)</f>
        <v>363086</v>
      </c>
      <c r="E793" s="275">
        <f>ROUND(BJ62,0)</f>
        <v>83768</v>
      </c>
      <c r="F793" s="275">
        <f>ROUND(BJ63,0)</f>
        <v>70392</v>
      </c>
      <c r="G793" s="275">
        <f>ROUND(BJ64,0)</f>
        <v>22123</v>
      </c>
      <c r="H793" s="275">
        <f>ROUND(BJ65,0)</f>
        <v>0</v>
      </c>
      <c r="I793" s="275">
        <f>ROUND(BJ66,0)</f>
        <v>28192</v>
      </c>
      <c r="J793" s="275">
        <f>ROUND(BJ67,0)</f>
        <v>20815</v>
      </c>
      <c r="K793" s="275">
        <f>ROUND(BJ68,0)</f>
        <v>8501</v>
      </c>
      <c r="L793" s="275">
        <f>ROUND(BJ69,0)</f>
        <v>6630</v>
      </c>
      <c r="M793" s="275">
        <f>ROUND(BJ70,0)</f>
        <v>0</v>
      </c>
      <c r="N793" s="275"/>
      <c r="O793" s="275"/>
      <c r="P793" s="275">
        <f>IF(BJ76&gt;0,ROUND(BJ76,0),0)</f>
        <v>615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5" customHeight="1" x14ac:dyDescent="0.35">
      <c r="A794" s="209" t="str">
        <f>RIGHT($C$83,3)&amp;"*"&amp;RIGHT($C$82,4)&amp;"*"&amp;BK$55&amp;"*"&amp;"A"</f>
        <v>147*2018*8530*A</v>
      </c>
      <c r="B794" s="275"/>
      <c r="C794" s="277">
        <f>ROUND(BK60,2)</f>
        <v>12.17</v>
      </c>
      <c r="D794" s="275">
        <f>ROUND(BK61,0)</f>
        <v>432784</v>
      </c>
      <c r="E794" s="275">
        <f>ROUND(BK62,0)</f>
        <v>175919</v>
      </c>
      <c r="F794" s="275">
        <f>ROUND(BK63,0)</f>
        <v>29049</v>
      </c>
      <c r="G794" s="275">
        <f>ROUND(BK64,0)</f>
        <v>46905</v>
      </c>
      <c r="H794" s="275">
        <f>ROUND(BK65,0)</f>
        <v>0</v>
      </c>
      <c r="I794" s="275">
        <f>ROUND(BK66,0)</f>
        <v>135030</v>
      </c>
      <c r="J794" s="275">
        <f>ROUND(BK67,0)</f>
        <v>4899</v>
      </c>
      <c r="K794" s="275">
        <f>ROUND(BK68,0)</f>
        <v>14992</v>
      </c>
      <c r="L794" s="275">
        <f>ROUND(BK69,0)</f>
        <v>5875</v>
      </c>
      <c r="M794" s="275">
        <f>ROUND(BK70,0)</f>
        <v>0</v>
      </c>
      <c r="N794" s="275"/>
      <c r="O794" s="275"/>
      <c r="P794" s="275">
        <f>IF(BK76&gt;0,ROUND(BK76,0),0)</f>
        <v>1753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5" customHeight="1" x14ac:dyDescent="0.35">
      <c r="A795" s="209" t="str">
        <f>RIGHT($C$83,3)&amp;"*"&amp;RIGHT($C$82,4)&amp;"*"&amp;BL$55&amp;"*"&amp;"A"</f>
        <v>147*2018*8560*A</v>
      </c>
      <c r="B795" s="275"/>
      <c r="C795" s="277">
        <f>ROUND(BL60,2)</f>
        <v>4.8099999999999996</v>
      </c>
      <c r="D795" s="275">
        <f>ROUND(BL61,0)</f>
        <v>166878</v>
      </c>
      <c r="E795" s="275">
        <f>ROUND(BL62,0)</f>
        <v>125972</v>
      </c>
      <c r="F795" s="275">
        <f>ROUND(BL63,0)</f>
        <v>0</v>
      </c>
      <c r="G795" s="275">
        <f>ROUND(BL64,0)</f>
        <v>5174</v>
      </c>
      <c r="H795" s="275">
        <f>ROUND(BL65,0)</f>
        <v>0</v>
      </c>
      <c r="I795" s="275">
        <f>ROUND(BL66,0)</f>
        <v>7108</v>
      </c>
      <c r="J795" s="275">
        <f>ROUND(BL67,0)</f>
        <v>704</v>
      </c>
      <c r="K795" s="275">
        <f>ROUND(BL68,0)</f>
        <v>1485</v>
      </c>
      <c r="L795" s="275">
        <f>ROUND(BL69,0)</f>
        <v>1</v>
      </c>
      <c r="M795" s="275">
        <f>ROUND(BL70,0)</f>
        <v>0</v>
      </c>
      <c r="N795" s="275"/>
      <c r="O795" s="275"/>
      <c r="P795" s="275">
        <f>IF(BL76&gt;0,ROUND(BL76,0),0)</f>
        <v>252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5" customHeight="1" x14ac:dyDescent="0.35">
      <c r="A796" s="209" t="str">
        <f>RIGHT($C$83,3)&amp;"*"&amp;RIGHT($C$82,4)&amp;"*"&amp;BM$55&amp;"*"&amp;"A"</f>
        <v>147*2018*8590*A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5" customHeight="1" x14ac:dyDescent="0.35">
      <c r="A797" s="209" t="str">
        <f>RIGHT($C$83,3)&amp;"*"&amp;RIGHT($C$82,4)&amp;"*"&amp;BN$55&amp;"*"&amp;"A"</f>
        <v>147*2018*8610*A</v>
      </c>
      <c r="B797" s="275"/>
      <c r="C797" s="277">
        <f>ROUND(BN60,2)</f>
        <v>3.35</v>
      </c>
      <c r="D797" s="275">
        <f>ROUND(BN61,0)</f>
        <v>434865</v>
      </c>
      <c r="E797" s="275">
        <f>ROUND(BN62,0)</f>
        <v>78990</v>
      </c>
      <c r="F797" s="275">
        <f>ROUND(BN63,0)</f>
        <v>87078</v>
      </c>
      <c r="G797" s="275">
        <f>ROUND(BN64,0)</f>
        <v>3564</v>
      </c>
      <c r="H797" s="275">
        <f>ROUND(BN65,0)</f>
        <v>0</v>
      </c>
      <c r="I797" s="275">
        <f>ROUND(BN66,0)</f>
        <v>70271</v>
      </c>
      <c r="J797" s="275">
        <f>ROUND(BN67,0)</f>
        <v>1959</v>
      </c>
      <c r="K797" s="275">
        <f>ROUND(BN68,0)</f>
        <v>7414</v>
      </c>
      <c r="L797" s="275">
        <f>ROUND(BN69,0)</f>
        <v>75759</v>
      </c>
      <c r="M797" s="275">
        <f>ROUND(BN70,0)</f>
        <v>0</v>
      </c>
      <c r="N797" s="275"/>
      <c r="O797" s="275"/>
      <c r="P797" s="275">
        <f>IF(BN76&gt;0,ROUND(BN76,0),0)</f>
        <v>701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5" customHeight="1" x14ac:dyDescent="0.35">
      <c r="A798" s="209" t="str">
        <f>RIGHT($C$83,3)&amp;"*"&amp;RIGHT($C$82,4)&amp;"*"&amp;BO$55&amp;"*"&amp;"A"</f>
        <v>147*2018*8620*A</v>
      </c>
      <c r="B798" s="275"/>
      <c r="C798" s="277">
        <f>ROUND(BO60,2)</f>
        <v>0.3</v>
      </c>
      <c r="D798" s="275">
        <f>ROUND(BO61,0)</f>
        <v>40757</v>
      </c>
      <c r="E798" s="275">
        <f>ROUND(BO62,0)</f>
        <v>-10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1732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5" customHeight="1" x14ac:dyDescent="0.35">
      <c r="A799" s="209" t="str">
        <f>RIGHT($C$83,3)&amp;"*"&amp;RIGHT($C$82,4)&amp;"*"&amp;BP$55&amp;"*"&amp;"A"</f>
        <v>147*2018*8630*A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5" customHeight="1" x14ac:dyDescent="0.35">
      <c r="A800" s="209" t="str">
        <f>RIGHT($C$83,3)&amp;"*"&amp;RIGHT($C$82,4)&amp;"*"&amp;BQ$55&amp;"*"&amp;"A"</f>
        <v>147*2018*8640*A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5" customHeight="1" x14ac:dyDescent="0.35">
      <c r="A801" s="209" t="str">
        <f>RIGHT($C$83,3)&amp;"*"&amp;RIGHT($C$82,4)&amp;"*"&amp;BR$55&amp;"*"&amp;"A"</f>
        <v>147*2018*8650*A</v>
      </c>
      <c r="B801" s="275"/>
      <c r="C801" s="277">
        <f>ROUND(BR60,2)</f>
        <v>2.08</v>
      </c>
      <c r="D801" s="275">
        <f>ROUND(BR61,0)</f>
        <v>167341</v>
      </c>
      <c r="E801" s="275">
        <f>ROUND(BR62,0)</f>
        <v>39590</v>
      </c>
      <c r="F801" s="275">
        <f>ROUND(BR63,0)</f>
        <v>8904</v>
      </c>
      <c r="G801" s="275">
        <f>ROUND(BR64,0)</f>
        <v>454</v>
      </c>
      <c r="H801" s="275">
        <f>ROUND(BR65,0)</f>
        <v>0</v>
      </c>
      <c r="I801" s="275">
        <f>ROUND(BR66,0)</f>
        <v>7176</v>
      </c>
      <c r="J801" s="275">
        <f>ROUND(BR67,0)</f>
        <v>903</v>
      </c>
      <c r="K801" s="275">
        <f>ROUND(BR68,0)</f>
        <v>0</v>
      </c>
      <c r="L801" s="275">
        <f>ROUND(BR69,0)</f>
        <v>41892</v>
      </c>
      <c r="M801" s="275">
        <f>ROUND(BR70,0)</f>
        <v>0</v>
      </c>
      <c r="N801" s="275"/>
      <c r="O801" s="275"/>
      <c r="P801" s="275">
        <f>IF(BR76&gt;0,ROUND(BR76,0),0)</f>
        <v>323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5" customHeight="1" x14ac:dyDescent="0.35">
      <c r="A802" s="209" t="str">
        <f>RIGHT($C$83,3)&amp;"*"&amp;RIGHT($C$82,4)&amp;"*"&amp;BS$55&amp;"*"&amp;"A"</f>
        <v>147*2018*8660*A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5" customHeight="1" x14ac:dyDescent="0.35">
      <c r="A803" s="209" t="str">
        <f>RIGHT($C$83,3)&amp;"*"&amp;RIGHT($C$82,4)&amp;"*"&amp;BT$55&amp;"*"&amp;"A"</f>
        <v>147*2018*8670*A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5" customHeight="1" x14ac:dyDescent="0.35">
      <c r="A804" s="209" t="str">
        <f>RIGHT($C$83,3)&amp;"*"&amp;RIGHT($C$82,4)&amp;"*"&amp;BU$55&amp;"*"&amp;"A"</f>
        <v>147*2018*8680*A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5" customHeight="1" x14ac:dyDescent="0.35">
      <c r="A805" s="209" t="str">
        <f>RIGHT($C$83,3)&amp;"*"&amp;RIGHT($C$82,4)&amp;"*"&amp;BV$55&amp;"*"&amp;"A"</f>
        <v>147*2018*8690*A</v>
      </c>
      <c r="B805" s="275"/>
      <c r="C805" s="277">
        <f>ROUND(BV60,2)</f>
        <v>8.18</v>
      </c>
      <c r="D805" s="275">
        <f>ROUND(BV61,0)</f>
        <v>373757</v>
      </c>
      <c r="E805" s="275">
        <f>ROUND(BV62,0)</f>
        <v>118329</v>
      </c>
      <c r="F805" s="275">
        <f>ROUND(BV63,0)</f>
        <v>0</v>
      </c>
      <c r="G805" s="275">
        <f>ROUND(BV64,0)</f>
        <v>3316</v>
      </c>
      <c r="H805" s="275">
        <f>ROUND(BV65,0)</f>
        <v>0</v>
      </c>
      <c r="I805" s="275">
        <f>ROUND(BV66,0)</f>
        <v>97454</v>
      </c>
      <c r="J805" s="275">
        <f>ROUND(BV67,0)</f>
        <v>4680</v>
      </c>
      <c r="K805" s="275">
        <f>ROUND(BV68,0)</f>
        <v>1740</v>
      </c>
      <c r="L805" s="275">
        <f>ROUND(BV69,0)</f>
        <v>1628</v>
      </c>
      <c r="M805" s="275">
        <f>ROUND(BV70,0)</f>
        <v>16949</v>
      </c>
      <c r="N805" s="275"/>
      <c r="O805" s="275"/>
      <c r="P805" s="275">
        <f>IF(BV76&gt;0,ROUND(BV76,0),0)</f>
        <v>1508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5" customHeight="1" x14ac:dyDescent="0.35">
      <c r="A806" s="209" t="str">
        <f>RIGHT($C$83,3)&amp;"*"&amp;RIGHT($C$82,4)&amp;"*"&amp;BW$55&amp;"*"&amp;"A"</f>
        <v>147*2018*8700*A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5" customHeight="1" x14ac:dyDescent="0.35">
      <c r="A807" s="209" t="str">
        <f>RIGHT($C$83,3)&amp;"*"&amp;RIGHT($C$82,4)&amp;"*"&amp;BX$55&amp;"*"&amp;"A"</f>
        <v>147*2018*8710*A</v>
      </c>
      <c r="B807" s="275"/>
      <c r="C807" s="277">
        <f>ROUND(BX60,2)</f>
        <v>1.0900000000000001</v>
      </c>
      <c r="D807" s="275">
        <f>ROUND(BX61,0)</f>
        <v>74736</v>
      </c>
      <c r="E807" s="275">
        <f>ROUND(BX62,0)</f>
        <v>19474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71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5" customHeight="1" x14ac:dyDescent="0.35">
      <c r="A808" s="209" t="str">
        <f>RIGHT($C$83,3)&amp;"*"&amp;RIGHT($C$82,4)&amp;"*"&amp;BY$55&amp;"*"&amp;"A"</f>
        <v>147*2018*8720*A</v>
      </c>
      <c r="B808" s="275"/>
      <c r="C808" s="277">
        <f>ROUND(BY60,2)</f>
        <v>2</v>
      </c>
      <c r="D808" s="275">
        <f>ROUND(BY61,0)</f>
        <v>210367</v>
      </c>
      <c r="E808" s="275">
        <f>ROUND(BY62,0)</f>
        <v>65036</v>
      </c>
      <c r="F808" s="275">
        <f>ROUND(BY63,0)</f>
        <v>0</v>
      </c>
      <c r="G808" s="275">
        <f>ROUND(BY64,0)</f>
        <v>61</v>
      </c>
      <c r="H808" s="275">
        <f>ROUND(BY65,0)</f>
        <v>0</v>
      </c>
      <c r="I808" s="275">
        <f>ROUND(BY66,0)</f>
        <v>0</v>
      </c>
      <c r="J808" s="275">
        <f>ROUND(BY67,0)</f>
        <v>685</v>
      </c>
      <c r="K808" s="275">
        <f>ROUND(BY68,0)</f>
        <v>0</v>
      </c>
      <c r="L808" s="275">
        <f>ROUND(BY69,0)</f>
        <v>4137</v>
      </c>
      <c r="M808" s="275">
        <f>ROUND(BY70,0)</f>
        <v>0</v>
      </c>
      <c r="N808" s="275"/>
      <c r="O808" s="275"/>
      <c r="P808" s="275">
        <f>IF(BY76&gt;0,ROUND(BY76,0),0)</f>
        <v>245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5" customHeight="1" x14ac:dyDescent="0.35">
      <c r="A809" s="209" t="str">
        <f>RIGHT($C$83,3)&amp;"*"&amp;RIGHT($C$82,4)&amp;"*"&amp;BZ$55&amp;"*"&amp;"A"</f>
        <v>147*2018*8730*A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5" customHeight="1" x14ac:dyDescent="0.35">
      <c r="A810" s="209" t="str">
        <f>RIGHT($C$83,3)&amp;"*"&amp;RIGHT($C$82,4)&amp;"*"&amp;CA$55&amp;"*"&amp;"A"</f>
        <v>147*2018*8740*A</v>
      </c>
      <c r="B810" s="275"/>
      <c r="C810" s="277">
        <f>ROUND(CA60,2)</f>
        <v>0.03</v>
      </c>
      <c r="D810" s="275">
        <f>ROUND(CA61,0)</f>
        <v>2548</v>
      </c>
      <c r="E810" s="275">
        <f>ROUND(CA62,0)</f>
        <v>10</v>
      </c>
      <c r="F810" s="275">
        <f>ROUND(CA63,0)</f>
        <v>5500</v>
      </c>
      <c r="G810" s="275">
        <f>ROUND(CA64,0)</f>
        <v>19012</v>
      </c>
      <c r="H810" s="275">
        <f>ROUND(CA65,0)</f>
        <v>0</v>
      </c>
      <c r="I810" s="275">
        <f>ROUND(CA66,0)</f>
        <v>35778</v>
      </c>
      <c r="J810" s="275">
        <f>ROUND(CA67,0)</f>
        <v>10035</v>
      </c>
      <c r="K810" s="275">
        <f>ROUND(CA68,0)</f>
        <v>0</v>
      </c>
      <c r="L810" s="275">
        <f>ROUND(CA69,0)</f>
        <v>802</v>
      </c>
      <c r="M810" s="275">
        <f>ROUND(CA70,0)</f>
        <v>2150</v>
      </c>
      <c r="N810" s="275"/>
      <c r="O810" s="275"/>
      <c r="P810" s="275">
        <f>IF(CA76&gt;0,ROUND(CA76,0),0)</f>
        <v>2150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5" customHeight="1" x14ac:dyDescent="0.35">
      <c r="A811" s="209" t="str">
        <f>RIGHT($C$83,3)&amp;"*"&amp;RIGHT($C$82,4)&amp;"*"&amp;CB$55&amp;"*"&amp;"A"</f>
        <v>147*2018*8770*A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5" customHeight="1" x14ac:dyDescent="0.35">
      <c r="A812" s="209" t="str">
        <f>RIGHT($C$83,3)&amp;"*"&amp;RIGHT($C$82,4)&amp;"*"&amp;CC$55&amp;"*"&amp;"A"</f>
        <v>147*2018*8790*A</v>
      </c>
      <c r="B812" s="275"/>
      <c r="C812" s="277">
        <f>ROUND(CC60,2)</f>
        <v>0.1</v>
      </c>
      <c r="D812" s="275">
        <f>ROUND(CC61,0)</f>
        <v>24406</v>
      </c>
      <c r="E812" s="275">
        <f>ROUND(CC62,0)</f>
        <v>2022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4268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5" customHeight="1" x14ac:dyDescent="0.35">
      <c r="A813" s="209" t="str">
        <f>RIGHT($C$83,3)&amp;"*"&amp;RIGHT($C$82,4)&amp;"*"&amp;"9000"&amp;"*"&amp;"A"</f>
        <v>147*2018*9000*A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942104</v>
      </c>
      <c r="V813" s="276">
        <f>ROUND(CD70,0)</f>
        <v>265543</v>
      </c>
      <c r="W813" s="275">
        <f>ROUND(CE72,0)</f>
        <v>1039314</v>
      </c>
      <c r="X813" s="275">
        <f>ROUND(C131,0)</f>
        <v>62631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5" customHeight="1" x14ac:dyDescent="0.3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5" customHeight="1" x14ac:dyDescent="0.35">
      <c r="B815" s="279" t="s">
        <v>1004</v>
      </c>
      <c r="C815" s="280">
        <f t="shared" ref="C815:K815" si="22">SUM(C734:C813)</f>
        <v>200.9</v>
      </c>
      <c r="D815" s="276">
        <f t="shared" si="22"/>
        <v>14865004</v>
      </c>
      <c r="E815" s="276">
        <f t="shared" si="22"/>
        <v>3763692</v>
      </c>
      <c r="F815" s="276">
        <f t="shared" si="22"/>
        <v>4704935</v>
      </c>
      <c r="G815" s="276">
        <f t="shared" si="22"/>
        <v>4196125</v>
      </c>
      <c r="H815" s="276">
        <f t="shared" si="22"/>
        <v>451155</v>
      </c>
      <c r="I815" s="276">
        <f t="shared" si="22"/>
        <v>2110169</v>
      </c>
      <c r="J815" s="276">
        <f t="shared" si="22"/>
        <v>1301782</v>
      </c>
      <c r="K815" s="276">
        <f t="shared" si="22"/>
        <v>384459</v>
      </c>
      <c r="L815" s="276">
        <f>SUM(L734:L813)+SUM(U734:U813)</f>
        <v>1182746</v>
      </c>
      <c r="M815" s="276">
        <f>SUM(M734:M813)+SUM(V734:V813)</f>
        <v>462243</v>
      </c>
      <c r="N815" s="276">
        <f t="shared" ref="N815:Y815" si="23">SUM(N734:N813)</f>
        <v>65626350</v>
      </c>
      <c r="O815" s="276">
        <f t="shared" si="23"/>
        <v>13404850</v>
      </c>
      <c r="P815" s="276">
        <f t="shared" si="23"/>
        <v>82579</v>
      </c>
      <c r="Q815" s="276">
        <f t="shared" si="23"/>
        <v>8233</v>
      </c>
      <c r="R815" s="276">
        <f t="shared" si="23"/>
        <v>16281</v>
      </c>
      <c r="S815" s="276">
        <f t="shared" si="23"/>
        <v>116507</v>
      </c>
      <c r="T815" s="280">
        <f t="shared" si="23"/>
        <v>45.4</v>
      </c>
      <c r="U815" s="276">
        <f t="shared" si="23"/>
        <v>942104</v>
      </c>
      <c r="V815" s="276">
        <f t="shared" si="23"/>
        <v>265543</v>
      </c>
      <c r="W815" s="276">
        <f t="shared" si="23"/>
        <v>1039314</v>
      </c>
      <c r="X815" s="276">
        <f t="shared" si="23"/>
        <v>62631</v>
      </c>
      <c r="Y815" s="276">
        <f t="shared" si="23"/>
        <v>7165378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5" customHeight="1" x14ac:dyDescent="0.35">
      <c r="B816" s="276" t="s">
        <v>1005</v>
      </c>
      <c r="C816" s="280">
        <f>CE60</f>
        <v>200.9</v>
      </c>
      <c r="D816" s="276">
        <f>CE61</f>
        <v>14865004</v>
      </c>
      <c r="E816" s="276">
        <f>CE62</f>
        <v>3763692</v>
      </c>
      <c r="F816" s="276">
        <f>CE63</f>
        <v>4704935</v>
      </c>
      <c r="G816" s="276">
        <f>CE64</f>
        <v>4196125</v>
      </c>
      <c r="H816" s="279">
        <f>CE65</f>
        <v>451155</v>
      </c>
      <c r="I816" s="279">
        <f>CE66</f>
        <v>2110169</v>
      </c>
      <c r="J816" s="279">
        <f>CE67</f>
        <v>1301782</v>
      </c>
      <c r="K816" s="279">
        <f>CE68</f>
        <v>384459</v>
      </c>
      <c r="L816" s="279">
        <f>CE69</f>
        <v>1182745.9699999997</v>
      </c>
      <c r="M816" s="279">
        <f>CE70</f>
        <v>462242.12</v>
      </c>
      <c r="N816" s="276">
        <f>CE75</f>
        <v>65626350</v>
      </c>
      <c r="O816" s="276">
        <f>CE73</f>
        <v>13404850</v>
      </c>
      <c r="P816" s="276">
        <f>CE76</f>
        <v>82579</v>
      </c>
      <c r="Q816" s="276">
        <f>CE77</f>
        <v>8233</v>
      </c>
      <c r="R816" s="276">
        <f>CE78</f>
        <v>16279.890000000001</v>
      </c>
      <c r="S816" s="276">
        <f>CE79</f>
        <v>116507</v>
      </c>
      <c r="T816" s="280">
        <f>CE80</f>
        <v>45.4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7165375.7400000002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5" customHeight="1" x14ac:dyDescent="0.35">
      <c r="B817" s="180" t="s">
        <v>471</v>
      </c>
      <c r="C817" s="199" t="s">
        <v>1007</v>
      </c>
      <c r="D817" s="180">
        <f>C378</f>
        <v>14865003</v>
      </c>
      <c r="E817" s="180">
        <f>C379</f>
        <v>3763692</v>
      </c>
      <c r="F817" s="180">
        <f>C380</f>
        <v>4704936</v>
      </c>
      <c r="G817" s="239">
        <f>C381</f>
        <v>4196122</v>
      </c>
      <c r="H817" s="239">
        <f>C382</f>
        <v>451155</v>
      </c>
      <c r="I817" s="239">
        <f>C383</f>
        <v>2110167</v>
      </c>
      <c r="J817" s="239">
        <f>C384</f>
        <v>1301781</v>
      </c>
      <c r="K817" s="239">
        <f>C385</f>
        <v>384460</v>
      </c>
      <c r="L817" s="239">
        <f>C386+C387+C388+C389</f>
        <v>1182742</v>
      </c>
      <c r="M817" s="239">
        <f>C370</f>
        <v>462242</v>
      </c>
      <c r="N817" s="180">
        <f>D361</f>
        <v>65626348</v>
      </c>
      <c r="O817" s="180">
        <f>C359</f>
        <v>13404848</v>
      </c>
    </row>
  </sheetData>
  <mergeCells count="1">
    <mergeCell ref="B220:C220"/>
  </mergeCells>
  <phoneticPr fontId="0" type="noConversion"/>
  <hyperlinks>
    <hyperlink ref="F16" r:id="rId1" xr:uid="{00000000-0004-0000-0A00-000000000000}"/>
    <hyperlink ref="C17" r:id="rId2" xr:uid="{00000000-0004-0000-0A00-000001000000}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M44"/>
  <sheetViews>
    <sheetView showGridLines="0" zoomScale="75" workbookViewId="0">
      <selection activeCell="H29" sqref="H29"/>
    </sheetView>
  </sheetViews>
  <sheetFormatPr defaultColWidth="10.75" defaultRowHeight="13.3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3.75" thickBot="1" x14ac:dyDescent="0.3">
      <c r="J1" s="166" t="s">
        <v>1008</v>
      </c>
    </row>
    <row r="2" spans="2:13" ht="15.45" thickTop="1" x14ac:dyDescent="0.35">
      <c r="B2" s="141"/>
      <c r="C2" s="142"/>
      <c r="D2" s="142"/>
      <c r="E2" s="142"/>
      <c r="F2" s="142"/>
      <c r="G2" s="142"/>
      <c r="H2" s="142"/>
      <c r="I2" s="142"/>
      <c r="J2" s="143"/>
    </row>
    <row r="3" spans="2:13" ht="15" x14ac:dyDescent="0.3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ht="15" x14ac:dyDescent="0.3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ht="15" x14ac:dyDescent="0.35">
      <c r="B5" s="144"/>
      <c r="C5" s="8"/>
      <c r="D5" s="8"/>
      <c r="E5" s="8"/>
      <c r="F5" s="8"/>
      <c r="G5" s="8"/>
      <c r="H5" s="8"/>
      <c r="I5" s="8"/>
      <c r="J5" s="145"/>
    </row>
    <row r="6" spans="2:13" ht="15.45" thickBot="1" x14ac:dyDescent="0.4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45" thickTop="1" x14ac:dyDescent="0.35">
      <c r="B7" s="144"/>
      <c r="C7" s="8"/>
      <c r="D7" s="8"/>
      <c r="E7" s="8"/>
      <c r="F7" s="8"/>
      <c r="G7" s="8"/>
      <c r="H7" s="8"/>
      <c r="I7" s="8"/>
      <c r="J7" s="145"/>
    </row>
    <row r="8" spans="2:13" ht="15.45" thickBot="1" x14ac:dyDescent="0.4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45" thickTop="1" x14ac:dyDescent="0.3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ht="15" x14ac:dyDescent="0.3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ht="15" x14ac:dyDescent="0.35">
      <c r="B11" s="144"/>
      <c r="C11" s="8"/>
      <c r="D11" s="8"/>
      <c r="E11" s="8"/>
      <c r="F11" s="76"/>
      <c r="G11" s="76"/>
      <c r="H11" s="8"/>
      <c r="I11" s="8"/>
      <c r="J11" s="145"/>
    </row>
    <row r="12" spans="2:13" ht="15" x14ac:dyDescent="0.3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ht="15" x14ac:dyDescent="0.3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45" thickBot="1" x14ac:dyDescent="0.4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45" thickTop="1" x14ac:dyDescent="0.3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45" thickBot="1" x14ac:dyDescent="0.4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45" thickTop="1" x14ac:dyDescent="0.35">
      <c r="B17" s="141"/>
      <c r="C17" s="150" t="s">
        <v>1014</v>
      </c>
      <c r="D17" s="150"/>
      <c r="E17" s="142" t="str">
        <f>+data!C84</f>
        <v>Mid Valley Hospital</v>
      </c>
      <c r="F17" s="149"/>
      <c r="G17" s="149"/>
      <c r="H17" s="142"/>
      <c r="I17" s="142"/>
      <c r="J17" s="143"/>
    </row>
    <row r="18" spans="2:10" ht="15" x14ac:dyDescent="0.35">
      <c r="B18" s="144"/>
      <c r="C18" s="151" t="s">
        <v>1015</v>
      </c>
      <c r="D18" s="151"/>
      <c r="E18" s="8" t="str">
        <f>+"H-"&amp;data!C83</f>
        <v>H-147</v>
      </c>
      <c r="F18" s="76"/>
      <c r="G18" s="76"/>
      <c r="H18" s="8"/>
      <c r="I18" s="8"/>
      <c r="J18" s="145"/>
    </row>
    <row r="19" spans="2:10" ht="15" x14ac:dyDescent="0.35">
      <c r="B19" s="144"/>
      <c r="C19" s="151" t="s">
        <v>1016</v>
      </c>
      <c r="D19" s="151"/>
      <c r="E19" s="8" t="str">
        <f>+data!C85</f>
        <v xml:space="preserve"> 810 Jasmine Street</v>
      </c>
      <c r="F19" s="76"/>
      <c r="G19" s="76"/>
      <c r="H19" s="8"/>
      <c r="I19" s="8"/>
      <c r="J19" s="145"/>
    </row>
    <row r="20" spans="2:10" ht="15" x14ac:dyDescent="0.35">
      <c r="B20" s="144"/>
      <c r="C20" s="151" t="s">
        <v>1017</v>
      </c>
      <c r="D20" s="151"/>
      <c r="E20" s="8" t="str">
        <f>+data!C86</f>
        <v>PO Box 793</v>
      </c>
      <c r="F20" s="76"/>
      <c r="G20" s="76"/>
      <c r="H20" s="8"/>
      <c r="I20" s="8"/>
      <c r="J20" s="145"/>
    </row>
    <row r="21" spans="2:10" ht="15" x14ac:dyDescent="0.35">
      <c r="B21" s="144"/>
      <c r="C21" s="151" t="s">
        <v>1018</v>
      </c>
      <c r="D21" s="151"/>
      <c r="E21" s="8" t="str">
        <f>+data!C87</f>
        <v>Omak, WA  98841</v>
      </c>
      <c r="F21" s="76"/>
      <c r="G21" s="76"/>
      <c r="H21" s="8"/>
      <c r="I21" s="8"/>
      <c r="J21" s="145"/>
    </row>
    <row r="22" spans="2:10" ht="15.45" thickBot="1" x14ac:dyDescent="0.4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45" thickTop="1" x14ac:dyDescent="0.35">
      <c r="B23" s="144"/>
      <c r="C23" s="8"/>
      <c r="D23" s="8"/>
      <c r="E23" s="8"/>
      <c r="F23" s="8"/>
      <c r="G23" s="8"/>
      <c r="H23" s="8"/>
      <c r="I23" s="8"/>
      <c r="J23" s="145"/>
    </row>
    <row r="24" spans="2:10" ht="15" x14ac:dyDescent="0.35">
      <c r="B24" s="144"/>
      <c r="C24" s="8"/>
      <c r="D24" s="8"/>
      <c r="E24" s="8"/>
      <c r="F24" s="8"/>
      <c r="G24" s="8"/>
      <c r="H24" s="8"/>
      <c r="I24" s="8"/>
      <c r="J24" s="145"/>
    </row>
    <row r="25" spans="2:10" ht="15" x14ac:dyDescent="0.35">
      <c r="B25" s="144"/>
      <c r="C25" s="8"/>
      <c r="D25" s="8"/>
      <c r="E25" s="8"/>
      <c r="F25" s="8"/>
      <c r="G25" s="8"/>
      <c r="H25" s="8"/>
      <c r="I25" s="8"/>
      <c r="J25" s="145"/>
    </row>
    <row r="26" spans="2:10" ht="15" x14ac:dyDescent="0.3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ht="15" x14ac:dyDescent="0.3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ht="15" x14ac:dyDescent="0.35">
      <c r="B28" s="144" t="str">
        <f>+"by the Department of Health for the fiscal year ended "&amp;data!C82&amp;"."</f>
        <v>by the Department of Health for the fiscal year ended 12/31/2020.</v>
      </c>
      <c r="C28" s="8"/>
      <c r="D28" s="8"/>
      <c r="E28" s="8"/>
      <c r="F28" s="8"/>
      <c r="G28" s="8"/>
      <c r="H28" s="8"/>
      <c r="I28" s="8"/>
      <c r="J28" s="145"/>
    </row>
    <row r="29" spans="2:10" ht="15" x14ac:dyDescent="0.3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ht="15" x14ac:dyDescent="0.3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ht="15" x14ac:dyDescent="0.3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ht="15" x14ac:dyDescent="0.35">
      <c r="B32" s="144"/>
      <c r="C32" s="8"/>
      <c r="D32" s="8"/>
      <c r="E32" s="8"/>
      <c r="F32" s="8"/>
      <c r="G32" s="8"/>
      <c r="H32" s="8"/>
      <c r="I32" s="8"/>
      <c r="J32" s="145"/>
    </row>
    <row r="33" spans="2:10" ht="15" x14ac:dyDescent="0.3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ht="15" x14ac:dyDescent="0.3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ht="15" x14ac:dyDescent="0.3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ht="15" x14ac:dyDescent="0.3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ht="15" x14ac:dyDescent="0.3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ht="15" x14ac:dyDescent="0.35">
      <c r="B38" s="144"/>
      <c r="C38" s="8"/>
      <c r="D38" s="8"/>
      <c r="E38" s="8"/>
      <c r="F38" s="8"/>
      <c r="G38" s="8"/>
      <c r="H38" s="8"/>
      <c r="I38" s="8"/>
      <c r="J38" s="145"/>
    </row>
    <row r="39" spans="2:10" ht="15" x14ac:dyDescent="0.3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ht="15" x14ac:dyDescent="0.3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ht="15" x14ac:dyDescent="0.3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45" thickBot="1" x14ac:dyDescent="0.4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3.75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0"/>
  <sheetViews>
    <sheetView showGridLines="0" topLeftCell="A13" zoomScale="75" workbookViewId="0">
      <selection activeCell="K30" sqref="K30"/>
    </sheetView>
  </sheetViews>
  <sheetFormatPr defaultColWidth="8.875" defaultRowHeight="18" customHeight="1" x14ac:dyDescent="0.35"/>
  <cols>
    <col min="1" max="1" width="4.75" style="2" customWidth="1"/>
    <col min="2" max="2" width="15.437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875" style="2"/>
  </cols>
  <sheetData>
    <row r="1" spans="1:13" ht="20.149999999999999" customHeight="1" x14ac:dyDescent="0.3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49999999999999" customHeight="1" x14ac:dyDescent="0.3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49999999999999" customHeight="1" x14ac:dyDescent="0.35">
      <c r="A3" s="7"/>
      <c r="B3" s="5"/>
      <c r="C3" s="5"/>
      <c r="D3" s="5"/>
      <c r="E3" s="5"/>
      <c r="F3" s="5"/>
      <c r="G3" s="5"/>
      <c r="H3" s="7"/>
    </row>
    <row r="4" spans="1:13" ht="20.149999999999999" customHeight="1" x14ac:dyDescent="0.35">
      <c r="A4" s="13">
        <v>1</v>
      </c>
      <c r="B4" s="127" t="str">
        <f>"Fiscal Year Ended:  "&amp;data!C82</f>
        <v>Fiscal Year Ended:  12/31/2020</v>
      </c>
      <c r="C4" s="38"/>
      <c r="D4" s="120"/>
      <c r="E4" s="70"/>
      <c r="F4" s="127" t="str">
        <f>"License Number:  "&amp;"H-"&amp;FIXED(data!C83,0)</f>
        <v>License Number:  H-147</v>
      </c>
      <c r="G4" s="24"/>
      <c r="H4" s="7"/>
    </row>
    <row r="5" spans="1:13" ht="20.149999999999999" customHeight="1" x14ac:dyDescent="0.35">
      <c r="A5" s="13">
        <v>2</v>
      </c>
      <c r="B5" s="49" t="s">
        <v>257</v>
      </c>
      <c r="C5" s="24"/>
      <c r="D5" s="127" t="str">
        <f>"  "&amp;data!C84</f>
        <v xml:space="preserve">  Mid Valley Hospital</v>
      </c>
      <c r="E5" s="70"/>
      <c r="F5" s="70"/>
      <c r="G5" s="24"/>
      <c r="H5" s="7"/>
    </row>
    <row r="6" spans="1:13" ht="20.149999999999999" customHeight="1" x14ac:dyDescent="0.35">
      <c r="A6" s="13">
        <v>3</v>
      </c>
      <c r="B6" s="49" t="s">
        <v>259</v>
      </c>
      <c r="C6" s="24"/>
      <c r="D6" s="127" t="str">
        <f>"  "&amp;data!C88</f>
        <v xml:space="preserve">  Okanogan</v>
      </c>
      <c r="E6" s="70"/>
      <c r="F6" s="70"/>
      <c r="G6" s="24"/>
      <c r="H6" s="7"/>
    </row>
    <row r="7" spans="1:13" ht="20.149999999999999" customHeight="1" x14ac:dyDescent="0.35">
      <c r="A7" s="13">
        <v>4</v>
      </c>
      <c r="B7" s="49" t="s">
        <v>1029</v>
      </c>
      <c r="C7" s="24"/>
      <c r="D7" s="127" t="str">
        <f>"  "&amp;data!C89</f>
        <v xml:space="preserve">  Alan J Fisher</v>
      </c>
      <c r="E7" s="70"/>
      <c r="F7" s="70"/>
      <c r="G7" s="24"/>
      <c r="H7" s="7"/>
    </row>
    <row r="8" spans="1:13" ht="20.149999999999999" customHeight="1" x14ac:dyDescent="0.35">
      <c r="A8" s="13">
        <v>5</v>
      </c>
      <c r="B8" s="49" t="s">
        <v>1030</v>
      </c>
      <c r="C8" s="24"/>
      <c r="D8" s="127" t="str">
        <f>"  "&amp;data!C90</f>
        <v xml:space="preserve">  Holly J Stanley</v>
      </c>
      <c r="E8" s="70"/>
      <c r="F8" s="70"/>
      <c r="G8" s="24"/>
      <c r="H8" s="7"/>
    </row>
    <row r="9" spans="1:13" ht="20.149999999999999" customHeight="1" x14ac:dyDescent="0.35">
      <c r="A9" s="13">
        <v>6</v>
      </c>
      <c r="B9" s="49" t="s">
        <v>1031</v>
      </c>
      <c r="C9" s="24"/>
      <c r="D9" s="127" t="str">
        <f>"  "&amp;data!C91</f>
        <v xml:space="preserve">  Gary H Oestreich</v>
      </c>
      <c r="E9" s="70"/>
      <c r="F9" s="70"/>
      <c r="G9" s="24"/>
      <c r="H9" s="7"/>
    </row>
    <row r="10" spans="1:13" ht="20.149999999999999" customHeight="1" x14ac:dyDescent="0.35">
      <c r="A10" s="13">
        <v>7</v>
      </c>
      <c r="B10" s="49" t="s">
        <v>1032</v>
      </c>
      <c r="C10" s="24"/>
      <c r="D10" s="127" t="str">
        <f>"  "&amp;data!C92</f>
        <v xml:space="preserve">  509-826-1760</v>
      </c>
      <c r="E10" s="70"/>
      <c r="F10" s="70"/>
      <c r="G10" s="24"/>
      <c r="H10" s="7"/>
    </row>
    <row r="11" spans="1:13" ht="20.149999999999999" customHeight="1" x14ac:dyDescent="0.35">
      <c r="A11" s="13">
        <v>8</v>
      </c>
      <c r="B11" s="49" t="s">
        <v>1033</v>
      </c>
      <c r="C11" s="24"/>
      <c r="D11" s="127" t="str">
        <f>"  "&amp;data!C93</f>
        <v xml:space="preserve">  509-826-8183</v>
      </c>
      <c r="E11" s="70"/>
      <c r="F11" s="70"/>
      <c r="G11" s="24"/>
      <c r="H11" s="7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  <c r="H12" s="7"/>
    </row>
    <row r="13" spans="1:13" ht="20.149999999999999" customHeight="1" x14ac:dyDescent="0.35">
      <c r="A13" s="74"/>
      <c r="B13" s="8"/>
      <c r="C13" s="8"/>
      <c r="D13" s="8"/>
      <c r="E13" s="8"/>
      <c r="F13" s="8"/>
      <c r="G13" s="126"/>
      <c r="H13" s="7"/>
    </row>
    <row r="14" spans="1:13" ht="20.149999999999999" customHeight="1" x14ac:dyDescent="0.3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49999999999999" customHeight="1" x14ac:dyDescent="0.3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49999999999999" customHeight="1" x14ac:dyDescent="0.3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49999999999999" customHeight="1" x14ac:dyDescent="0.3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49999999999999" customHeight="1" x14ac:dyDescent="0.3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49999999999999" customHeight="1" x14ac:dyDescent="0.3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49999999999999" customHeight="1" x14ac:dyDescent="0.35">
      <c r="A20" s="73"/>
      <c r="B20" s="30"/>
      <c r="C20" s="30"/>
      <c r="D20" s="30"/>
      <c r="E20" s="30"/>
      <c r="F20" s="30"/>
      <c r="G20" s="20"/>
      <c r="H20" s="7"/>
    </row>
    <row r="21" spans="1:9" ht="20.149999999999999" customHeight="1" x14ac:dyDescent="0.35">
      <c r="A21" s="74"/>
      <c r="B21" s="8"/>
      <c r="C21" s="8"/>
      <c r="D21" s="8"/>
      <c r="E21" s="8"/>
      <c r="F21" s="8"/>
      <c r="G21" s="28"/>
      <c r="H21" s="7"/>
    </row>
    <row r="22" spans="1:9" ht="20.149999999999999" customHeight="1" x14ac:dyDescent="0.3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49999999999999" customHeight="1" x14ac:dyDescent="0.35">
      <c r="A23" s="130"/>
      <c r="B23" s="49" t="s">
        <v>1039</v>
      </c>
      <c r="C23" s="38"/>
      <c r="D23" s="38"/>
      <c r="E23" s="38"/>
      <c r="F23" s="13">
        <f>data!C111</f>
        <v>712</v>
      </c>
      <c r="G23" s="21">
        <f>data!D111</f>
        <v>1726</v>
      </c>
      <c r="H23" s="7"/>
    </row>
    <row r="24" spans="1:9" ht="20.149999999999999" customHeight="1" x14ac:dyDescent="0.35">
      <c r="A24" s="130"/>
      <c r="B24" s="49" t="s">
        <v>1040</v>
      </c>
      <c r="C24" s="38"/>
      <c r="D24" s="38"/>
      <c r="E24" s="38"/>
      <c r="F24" s="13">
        <f>data!C112</f>
        <v>1</v>
      </c>
      <c r="G24" s="21">
        <f>data!D112</f>
        <v>8</v>
      </c>
      <c r="H24" s="7"/>
    </row>
    <row r="25" spans="1:9" ht="20.149999999999999" customHeight="1" x14ac:dyDescent="0.3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49999999999999" customHeight="1" x14ac:dyDescent="0.35">
      <c r="A26" s="13">
        <v>11</v>
      </c>
      <c r="B26" s="49" t="s">
        <v>281</v>
      </c>
      <c r="C26" s="38"/>
      <c r="D26" s="38"/>
      <c r="E26" s="38"/>
      <c r="F26" s="13">
        <f>data!C114</f>
        <v>266</v>
      </c>
      <c r="G26" s="13">
        <f>data!D114</f>
        <v>377</v>
      </c>
      <c r="H26" s="7"/>
    </row>
    <row r="27" spans="1:9" ht="20.149999999999999" customHeight="1" x14ac:dyDescent="0.35">
      <c r="A27" s="73"/>
      <c r="B27" s="30"/>
      <c r="C27" s="30"/>
      <c r="D27" s="30"/>
      <c r="E27" s="30"/>
      <c r="F27" s="30"/>
      <c r="G27" s="20"/>
      <c r="H27" s="7"/>
    </row>
    <row r="28" spans="1:9" ht="20.149999999999999" customHeight="1" x14ac:dyDescent="0.35">
      <c r="A28" s="74"/>
      <c r="B28" s="8"/>
      <c r="C28" s="8"/>
      <c r="D28" s="8"/>
      <c r="E28" s="8"/>
      <c r="F28" s="8"/>
      <c r="G28" s="28"/>
      <c r="H28" s="7"/>
    </row>
    <row r="29" spans="1:9" ht="20.149999999999999" customHeight="1" x14ac:dyDescent="0.3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49999999999999" customHeight="1" x14ac:dyDescent="0.3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49999999999999" customHeight="1" x14ac:dyDescent="0.3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49999999999999" customHeight="1" x14ac:dyDescent="0.3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49999999999999" customHeight="1" x14ac:dyDescent="0.3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49999999999999" customHeight="1" x14ac:dyDescent="0.3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49999999999999" customHeight="1" x14ac:dyDescent="0.3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49999999999999" customHeight="1" x14ac:dyDescent="0.3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44</v>
      </c>
      <c r="H36" s="7"/>
    </row>
    <row r="37" spans="1:8" ht="20.149999999999999" customHeight="1" x14ac:dyDescent="0.35">
      <c r="A37" s="130"/>
      <c r="E37" s="49" t="s">
        <v>293</v>
      </c>
      <c r="F37" s="24"/>
      <c r="G37" s="21">
        <f>data!C129</f>
        <v>6</v>
      </c>
      <c r="H37" s="7"/>
    </row>
    <row r="38" spans="1:8" ht="20.149999999999999" customHeight="1" x14ac:dyDescent="0.35">
      <c r="A38" s="130"/>
      <c r="B38" s="38"/>
      <c r="C38" s="38"/>
      <c r="D38" s="38"/>
      <c r="E38" s="38"/>
      <c r="F38" s="38"/>
      <c r="G38" s="24"/>
      <c r="H38" s="7"/>
    </row>
    <row r="39" spans="1:8" ht="20.149999999999999" customHeight="1" x14ac:dyDescent="0.3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49999999999999" customHeight="1" x14ac:dyDescent="0.35">
      <c r="A40" s="134"/>
      <c r="B40" s="135" t="s">
        <v>1051</v>
      </c>
      <c r="C40" s="136" t="s">
        <v>256</v>
      </c>
      <c r="D40" s="137">
        <f>data!C131</f>
        <v>13092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34"/>
  <sheetViews>
    <sheetView showGridLines="0" topLeftCell="A13" zoomScale="75" workbookViewId="0">
      <selection activeCell="E21" sqref="E21"/>
    </sheetView>
  </sheetViews>
  <sheetFormatPr defaultColWidth="8.875" defaultRowHeight="20.149999999999999" customHeight="1" x14ac:dyDescent="0.35"/>
  <cols>
    <col min="1" max="1" width="10.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875" style="2"/>
  </cols>
  <sheetData>
    <row r="1" spans="1:13" ht="20.149999999999999" customHeight="1" x14ac:dyDescent="0.3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49999999999999" customHeight="1" x14ac:dyDescent="0.35">
      <c r="A2" s="105" t="str">
        <f>"Hospital Name: "&amp;data!C84</f>
        <v>Hospital Name: Mid Valley Hospital</v>
      </c>
      <c r="B2" s="8"/>
      <c r="C2" s="8"/>
      <c r="D2" s="8"/>
      <c r="E2" s="8"/>
      <c r="F2" s="11"/>
      <c r="G2" s="76" t="s">
        <v>1054</v>
      </c>
    </row>
    <row r="3" spans="1:13" ht="20.149999999999999" customHeight="1" x14ac:dyDescent="0.35">
      <c r="A3" s="8"/>
      <c r="B3" s="8"/>
      <c r="C3" s="8"/>
      <c r="D3" s="8"/>
      <c r="E3" s="8"/>
      <c r="F3" s="8"/>
      <c r="G3" s="106" t="str">
        <f>"FYE: "&amp;data!C82</f>
        <v>FYE: 12/31/2020</v>
      </c>
    </row>
    <row r="4" spans="1:13" ht="20.149999999999999" customHeight="1" x14ac:dyDescent="0.35">
      <c r="A4" s="107" t="s">
        <v>1055</v>
      </c>
      <c r="B4" s="108"/>
      <c r="C4" s="108"/>
      <c r="D4" s="108"/>
      <c r="E4" s="108"/>
      <c r="F4" s="108"/>
      <c r="G4" s="95"/>
    </row>
    <row r="5" spans="1:13" ht="20.149999999999999" customHeight="1" x14ac:dyDescent="0.3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49999999999999" customHeight="1" x14ac:dyDescent="0.3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49999999999999" customHeight="1" x14ac:dyDescent="0.35">
      <c r="A7" s="23" t="s">
        <v>296</v>
      </c>
      <c r="B7" s="48">
        <f>data!B138</f>
        <v>243</v>
      </c>
      <c r="C7" s="48">
        <f>data!B139</f>
        <v>727</v>
      </c>
      <c r="D7" s="48">
        <f>data!B140</f>
        <v>12640</v>
      </c>
      <c r="E7" s="48">
        <f>data!B141</f>
        <v>4587432.3599999994</v>
      </c>
      <c r="F7" s="48">
        <f>data!B142</f>
        <v>23594425.66</v>
      </c>
      <c r="G7" s="48">
        <f>data!B141+data!B142</f>
        <v>28181858.02</v>
      </c>
    </row>
    <row r="8" spans="1:13" ht="20.149999999999999" customHeight="1" x14ac:dyDescent="0.35">
      <c r="A8" s="23" t="s">
        <v>297</v>
      </c>
      <c r="B8" s="48">
        <f>data!C138</f>
        <v>285</v>
      </c>
      <c r="C8" s="48">
        <f>data!C139</f>
        <v>591</v>
      </c>
      <c r="D8" s="48">
        <f>data!C140</f>
        <v>10932</v>
      </c>
      <c r="E8" s="48">
        <f>data!C141</f>
        <v>4647015.37</v>
      </c>
      <c r="F8" s="48">
        <f>data!C142</f>
        <v>18253695.82</v>
      </c>
      <c r="G8" s="48">
        <f>data!C141+data!C142</f>
        <v>22900711.190000001</v>
      </c>
    </row>
    <row r="9" spans="1:13" ht="20.149999999999999" customHeight="1" x14ac:dyDescent="0.35">
      <c r="A9" s="23" t="s">
        <v>1058</v>
      </c>
      <c r="B9" s="48">
        <f>data!D138</f>
        <v>184</v>
      </c>
      <c r="C9" s="48">
        <f>data!D139</f>
        <v>408</v>
      </c>
      <c r="D9" s="48">
        <f>data!D140</f>
        <v>12767</v>
      </c>
      <c r="E9" s="48">
        <f>data!D141</f>
        <v>3112916.51</v>
      </c>
      <c r="F9" s="48">
        <f>data!D142</f>
        <v>19960558.77</v>
      </c>
      <c r="G9" s="48">
        <f>data!D141+data!D142</f>
        <v>23073475.280000001</v>
      </c>
    </row>
    <row r="10" spans="1:13" ht="20.149999999999999" customHeight="1" x14ac:dyDescent="0.35">
      <c r="A10" s="111" t="s">
        <v>203</v>
      </c>
      <c r="B10" s="48">
        <f>data!E138</f>
        <v>712</v>
      </c>
      <c r="C10" s="48">
        <f>data!E139</f>
        <v>1726</v>
      </c>
      <c r="D10" s="48">
        <f>data!E140</f>
        <v>36339</v>
      </c>
      <c r="E10" s="48">
        <f>data!E141</f>
        <v>12347364.24</v>
      </c>
      <c r="F10" s="48">
        <f>data!E142</f>
        <v>61808680.25</v>
      </c>
      <c r="G10" s="48">
        <f>data!E141+data!E142</f>
        <v>74156044.489999995</v>
      </c>
    </row>
    <row r="11" spans="1:13" ht="20.149999999999999" customHeight="1" x14ac:dyDescent="0.35">
      <c r="A11" s="112"/>
      <c r="B11" s="113"/>
      <c r="C11" s="113"/>
      <c r="D11" s="113"/>
      <c r="E11" s="113"/>
      <c r="F11" s="113"/>
      <c r="G11" s="114"/>
    </row>
    <row r="12" spans="1:13" ht="20.149999999999999" customHeight="1" x14ac:dyDescent="0.35">
      <c r="A12" s="73"/>
      <c r="B12" s="30"/>
      <c r="C12" s="30"/>
      <c r="D12" s="30"/>
      <c r="E12" s="30"/>
      <c r="F12" s="30"/>
      <c r="G12" s="20"/>
    </row>
    <row r="13" spans="1:13" ht="20.149999999999999" customHeight="1" x14ac:dyDescent="0.35">
      <c r="A13" s="115" t="s">
        <v>1059</v>
      </c>
      <c r="B13" s="5"/>
      <c r="C13" s="5"/>
      <c r="D13" s="5"/>
      <c r="E13" s="5"/>
      <c r="F13" s="5"/>
      <c r="G13" s="116"/>
    </row>
    <row r="14" spans="1:13" ht="20.149999999999999" customHeight="1" x14ac:dyDescent="0.3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49999999999999" customHeight="1" x14ac:dyDescent="0.3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49999999999999" customHeight="1" x14ac:dyDescent="0.35">
      <c r="A16" s="23" t="s">
        <v>296</v>
      </c>
      <c r="B16" s="48">
        <f>data!B144</f>
        <v>1</v>
      </c>
      <c r="C16" s="48">
        <f>data!B145</f>
        <v>8</v>
      </c>
      <c r="D16" s="48">
        <f>data!B146</f>
        <v>0</v>
      </c>
      <c r="E16" s="48">
        <f>data!B147</f>
        <v>13091.75</v>
      </c>
      <c r="F16" s="48">
        <f>data!B148</f>
        <v>0</v>
      </c>
      <c r="G16" s="48">
        <f>data!B147+data!B148</f>
        <v>13091.75</v>
      </c>
    </row>
    <row r="17" spans="1:7" ht="20.149999999999999" customHeight="1" x14ac:dyDescent="0.3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49999999999999" customHeight="1" x14ac:dyDescent="0.3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49999999999999" customHeight="1" x14ac:dyDescent="0.35">
      <c r="A19" s="111" t="s">
        <v>203</v>
      </c>
      <c r="B19" s="48">
        <f>data!E144</f>
        <v>1</v>
      </c>
      <c r="C19" s="48">
        <f>data!E145</f>
        <v>8</v>
      </c>
      <c r="D19" s="48">
        <f>data!E146</f>
        <v>0</v>
      </c>
      <c r="E19" s="48">
        <f>data!E147</f>
        <v>13091.75</v>
      </c>
      <c r="F19" s="48">
        <f>data!E148</f>
        <v>0</v>
      </c>
      <c r="G19" s="48">
        <f>data!E147+data!E148</f>
        <v>13091.75</v>
      </c>
    </row>
    <row r="20" spans="1:7" ht="20.149999999999999" customHeight="1" x14ac:dyDescent="0.35">
      <c r="A20" s="112"/>
      <c r="B20" s="113"/>
      <c r="C20" s="113"/>
      <c r="D20" s="113"/>
      <c r="E20" s="113"/>
      <c r="F20" s="113"/>
      <c r="G20" s="114"/>
    </row>
    <row r="21" spans="1:7" ht="20.149999999999999" customHeight="1" x14ac:dyDescent="0.35">
      <c r="A21" s="73"/>
      <c r="B21" s="30"/>
      <c r="C21" s="30"/>
      <c r="D21" s="30"/>
      <c r="E21" s="30"/>
      <c r="F21" s="30"/>
      <c r="G21" s="20"/>
    </row>
    <row r="22" spans="1:7" ht="20.149999999999999" customHeight="1" x14ac:dyDescent="0.35">
      <c r="A22" s="115" t="s">
        <v>1060</v>
      </c>
      <c r="B22" s="5"/>
      <c r="C22" s="5"/>
      <c r="D22" s="5"/>
      <c r="E22" s="5"/>
      <c r="F22" s="5"/>
      <c r="G22" s="116"/>
    </row>
    <row r="23" spans="1:7" ht="20.149999999999999" customHeight="1" x14ac:dyDescent="0.3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49999999999999" customHeight="1" x14ac:dyDescent="0.3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49999999999999" customHeight="1" x14ac:dyDescent="0.3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49999999999999" customHeight="1" x14ac:dyDescent="0.3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49999999999999" customHeight="1" x14ac:dyDescent="0.3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49999999999999" customHeight="1" x14ac:dyDescent="0.3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49999999999999" customHeight="1" x14ac:dyDescent="0.35">
      <c r="A29" s="112"/>
      <c r="B29" s="113"/>
      <c r="C29" s="113"/>
      <c r="D29" s="113"/>
      <c r="E29" s="113"/>
      <c r="F29" s="113"/>
      <c r="G29" s="114"/>
    </row>
    <row r="30" spans="1:7" ht="20.149999999999999" customHeight="1" x14ac:dyDescent="0.35">
      <c r="A30" s="73"/>
      <c r="B30" s="50"/>
      <c r="C30" s="30"/>
      <c r="D30" s="30"/>
      <c r="E30" s="30"/>
      <c r="F30" s="30"/>
      <c r="G30" s="20"/>
    </row>
    <row r="31" spans="1:7" ht="20.149999999999999" customHeight="1" x14ac:dyDescent="0.35">
      <c r="A31" s="118" t="s">
        <v>1061</v>
      </c>
      <c r="B31" s="119"/>
      <c r="C31" s="70"/>
      <c r="D31" s="120"/>
      <c r="E31" s="120"/>
      <c r="F31" s="120"/>
      <c r="G31" s="121"/>
    </row>
    <row r="32" spans="1:7" ht="20.149999999999999" customHeight="1" x14ac:dyDescent="0.35">
      <c r="A32" s="122"/>
      <c r="B32" s="65" t="s">
        <v>1062</v>
      </c>
      <c r="C32" s="123">
        <f>data!B157</f>
        <v>11278983.26</v>
      </c>
      <c r="D32" s="70"/>
      <c r="E32" s="70"/>
      <c r="F32" s="70"/>
      <c r="G32" s="27"/>
    </row>
    <row r="33" spans="1:7" ht="20.149999999999999" customHeight="1" x14ac:dyDescent="0.35">
      <c r="A33" s="122"/>
      <c r="B33" s="124" t="s">
        <v>1063</v>
      </c>
      <c r="C33" s="125">
        <f>data!C157</f>
        <v>3750579.18</v>
      </c>
      <c r="D33" s="119"/>
      <c r="E33" s="119"/>
      <c r="F33" s="119"/>
      <c r="G33" s="126"/>
    </row>
    <row r="34" spans="1:7" ht="20.149999999999999" customHeight="1" x14ac:dyDescent="0.3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1"/>
  <sheetViews>
    <sheetView showGridLines="0" topLeftCell="A13" zoomScale="75" workbookViewId="0">
      <selection activeCell="C14" sqref="C14"/>
    </sheetView>
  </sheetViews>
  <sheetFormatPr defaultColWidth="8.875" defaultRowHeight="14.15" x14ac:dyDescent="0.35"/>
  <cols>
    <col min="1" max="1" width="5.75" style="2" customWidth="1"/>
    <col min="2" max="2" width="54.125" style="2" customWidth="1"/>
    <col min="3" max="3" width="13.75" style="2" customWidth="1"/>
    <col min="4" max="16384" width="8.875" style="2"/>
  </cols>
  <sheetData>
    <row r="1" spans="1:13" ht="20.149999999999999" customHeight="1" x14ac:dyDescent="0.35">
      <c r="A1" s="4" t="s">
        <v>305</v>
      </c>
      <c r="B1" s="5"/>
      <c r="C1" s="167" t="s">
        <v>1064</v>
      </c>
    </row>
    <row r="2" spans="1:13" ht="20.149999999999999" customHeight="1" x14ac:dyDescent="0.35">
      <c r="A2" s="94"/>
      <c r="B2" s="8"/>
      <c r="C2" s="8"/>
    </row>
    <row r="3" spans="1:13" ht="20.149999999999999" customHeight="1" x14ac:dyDescent="0.35">
      <c r="A3" s="29" t="str">
        <f>"Hospital: "&amp;data!C84</f>
        <v>Hospital: Mid Valley Hospital</v>
      </c>
      <c r="B3" s="30"/>
      <c r="C3" s="31" t="str">
        <f>"FYE: "&amp;data!C82</f>
        <v>FYE: 12/31/2020</v>
      </c>
    </row>
    <row r="4" spans="1:13" ht="20.149999999999999" customHeight="1" x14ac:dyDescent="0.35">
      <c r="A4" s="30"/>
      <c r="B4" s="8"/>
      <c r="C4" s="8"/>
    </row>
    <row r="5" spans="1:13" ht="20.149999999999999" customHeight="1" x14ac:dyDescent="0.35">
      <c r="A5" s="23">
        <v>1</v>
      </c>
      <c r="B5" s="37" t="s">
        <v>306</v>
      </c>
      <c r="C5" s="95"/>
    </row>
    <row r="6" spans="1:13" ht="20.149999999999999" customHeight="1" x14ac:dyDescent="0.35">
      <c r="A6" s="96">
        <v>2</v>
      </c>
      <c r="B6" s="49" t="s">
        <v>1065</v>
      </c>
      <c r="C6" s="13">
        <f>data!C165</f>
        <v>1138277.3400000001</v>
      </c>
    </row>
    <row r="7" spans="1:13" ht="20.149999999999999" customHeight="1" x14ac:dyDescent="0.35">
      <c r="A7" s="40">
        <v>3</v>
      </c>
      <c r="B7" s="97" t="s">
        <v>308</v>
      </c>
      <c r="C7" s="13">
        <f>data!C166</f>
        <v>61644.21</v>
      </c>
    </row>
    <row r="8" spans="1:13" ht="20.149999999999999" customHeight="1" x14ac:dyDescent="0.35">
      <c r="A8" s="40">
        <v>4</v>
      </c>
      <c r="B8" s="49" t="s">
        <v>309</v>
      </c>
      <c r="C8" s="13">
        <f>data!C167</f>
        <v>260935.88</v>
      </c>
    </row>
    <row r="9" spans="1:13" ht="20.149999999999999" customHeight="1" x14ac:dyDescent="0.35">
      <c r="A9" s="40">
        <v>5</v>
      </c>
      <c r="B9" s="49" t="s">
        <v>310</v>
      </c>
      <c r="C9" s="13">
        <f>data!C168</f>
        <v>2138744.79</v>
      </c>
    </row>
    <row r="10" spans="1:13" ht="20.149999999999999" customHeight="1" x14ac:dyDescent="0.35">
      <c r="A10" s="40">
        <v>6</v>
      </c>
      <c r="B10" s="49" t="s">
        <v>311</v>
      </c>
      <c r="C10" s="13">
        <f>data!C169</f>
        <v>39677.24</v>
      </c>
    </row>
    <row r="11" spans="1:13" ht="20.149999999999999" customHeight="1" x14ac:dyDescent="0.35">
      <c r="A11" s="40">
        <v>7</v>
      </c>
      <c r="B11" s="49" t="s">
        <v>312</v>
      </c>
      <c r="C11" s="13">
        <f>data!C170</f>
        <v>265615.14</v>
      </c>
    </row>
    <row r="12" spans="1:13" ht="20.149999999999999" customHeight="1" x14ac:dyDescent="0.35">
      <c r="A12" s="40">
        <v>8</v>
      </c>
      <c r="B12" s="49" t="s">
        <v>313</v>
      </c>
      <c r="C12" s="13">
        <f>data!C171</f>
        <v>23629.02</v>
      </c>
    </row>
    <row r="13" spans="1:13" ht="20.149999999999999" customHeight="1" x14ac:dyDescent="0.35">
      <c r="A13" s="40">
        <v>9</v>
      </c>
      <c r="B13" s="49" t="s">
        <v>313</v>
      </c>
      <c r="C13" s="13">
        <f>data!C172</f>
        <v>21397.78</v>
      </c>
    </row>
    <row r="14" spans="1:13" ht="20.149999999999999" customHeight="1" x14ac:dyDescent="0.35">
      <c r="A14" s="40">
        <v>10</v>
      </c>
      <c r="B14" s="49" t="s">
        <v>1066</v>
      </c>
      <c r="C14" s="13">
        <f>data!D173</f>
        <v>3949921.4000000004</v>
      </c>
    </row>
    <row r="15" spans="1:13" ht="20.149999999999999" customHeight="1" x14ac:dyDescent="0.35">
      <c r="A15" s="57"/>
      <c r="B15" s="45"/>
      <c r="C15" s="98"/>
      <c r="M15" s="180"/>
    </row>
    <row r="16" spans="1:13" ht="20.149999999999999" customHeight="1" x14ac:dyDescent="0.35">
      <c r="A16" s="73"/>
      <c r="B16" s="30"/>
      <c r="C16" s="20"/>
    </row>
    <row r="17" spans="1:3" ht="20.149999999999999" customHeight="1" x14ac:dyDescent="0.35">
      <c r="A17" s="99">
        <v>11</v>
      </c>
      <c r="B17" s="100" t="s">
        <v>314</v>
      </c>
      <c r="C17" s="101"/>
    </row>
    <row r="18" spans="1:3" ht="20.149999999999999" customHeight="1" x14ac:dyDescent="0.35">
      <c r="A18" s="13">
        <v>12</v>
      </c>
      <c r="B18" s="49" t="s">
        <v>1067</v>
      </c>
      <c r="C18" s="13">
        <f>data!C175</f>
        <v>2600</v>
      </c>
    </row>
    <row r="19" spans="1:3" ht="20.149999999999999" customHeight="1" x14ac:dyDescent="0.35">
      <c r="A19" s="13">
        <v>13</v>
      </c>
      <c r="B19" s="49" t="s">
        <v>1068</v>
      </c>
      <c r="C19" s="13">
        <f>data!C176</f>
        <v>269873.89</v>
      </c>
    </row>
    <row r="20" spans="1:3" ht="20.149999999999999" customHeight="1" x14ac:dyDescent="0.35">
      <c r="A20" s="13">
        <v>14</v>
      </c>
      <c r="B20" s="49" t="s">
        <v>1069</v>
      </c>
      <c r="C20" s="13">
        <f>data!D177</f>
        <v>272473.89</v>
      </c>
    </row>
    <row r="21" spans="1:3" ht="20.149999999999999" customHeight="1" x14ac:dyDescent="0.35">
      <c r="A21" s="57"/>
      <c r="B21" s="45"/>
      <c r="C21" s="98"/>
    </row>
    <row r="22" spans="1:3" ht="20.149999999999999" customHeight="1" x14ac:dyDescent="0.35">
      <c r="A22" s="73"/>
      <c r="B22" s="8"/>
      <c r="C22" s="44"/>
    </row>
    <row r="23" spans="1:3" ht="20.149999999999999" customHeight="1" x14ac:dyDescent="0.35">
      <c r="A23" s="102">
        <v>15</v>
      </c>
      <c r="B23" s="103" t="s">
        <v>317</v>
      </c>
      <c r="C23" s="95"/>
    </row>
    <row r="24" spans="1:3" ht="20.149999999999999" customHeight="1" x14ac:dyDescent="0.35">
      <c r="A24" s="13">
        <v>16</v>
      </c>
      <c r="B24" s="37" t="s">
        <v>1070</v>
      </c>
      <c r="C24" s="104"/>
    </row>
    <row r="25" spans="1:3" ht="20.149999999999999" customHeight="1" x14ac:dyDescent="0.35">
      <c r="A25" s="13">
        <v>17</v>
      </c>
      <c r="B25" s="49" t="s">
        <v>1071</v>
      </c>
      <c r="C25" s="13">
        <f>data!C179</f>
        <v>373522.75</v>
      </c>
    </row>
    <row r="26" spans="1:3" ht="20.149999999999999" customHeight="1" x14ac:dyDescent="0.35">
      <c r="A26" s="13">
        <v>18</v>
      </c>
      <c r="B26" s="49" t="s">
        <v>319</v>
      </c>
      <c r="C26" s="13">
        <f>data!C180</f>
        <v>147973.76999999999</v>
      </c>
    </row>
    <row r="27" spans="1:3" ht="20.149999999999999" customHeight="1" x14ac:dyDescent="0.35">
      <c r="A27" s="13">
        <v>19</v>
      </c>
      <c r="B27" s="49" t="s">
        <v>1072</v>
      </c>
      <c r="C27" s="13">
        <f>data!D181</f>
        <v>521496.52</v>
      </c>
    </row>
    <row r="28" spans="1:3" ht="20.149999999999999" customHeight="1" x14ac:dyDescent="0.35">
      <c r="A28" s="57"/>
      <c r="B28" s="45"/>
      <c r="C28" s="98"/>
    </row>
    <row r="29" spans="1:3" ht="20.149999999999999" customHeight="1" x14ac:dyDescent="0.35">
      <c r="A29" s="73"/>
      <c r="B29" s="30"/>
      <c r="C29" s="20"/>
    </row>
    <row r="30" spans="1:3" ht="20.149999999999999" customHeight="1" x14ac:dyDescent="0.35">
      <c r="A30" s="102">
        <v>20</v>
      </c>
      <c r="B30" s="43" t="s">
        <v>1073</v>
      </c>
      <c r="C30" s="34"/>
    </row>
    <row r="31" spans="1:3" ht="20.149999999999999" customHeight="1" x14ac:dyDescent="0.35">
      <c r="A31" s="13">
        <v>21</v>
      </c>
      <c r="B31" s="49" t="s">
        <v>321</v>
      </c>
      <c r="C31" s="13">
        <f>data!C183</f>
        <v>34619.67</v>
      </c>
    </row>
    <row r="32" spans="1:3" ht="20.149999999999999" customHeight="1" x14ac:dyDescent="0.35">
      <c r="A32" s="13">
        <v>22</v>
      </c>
      <c r="B32" s="49" t="s">
        <v>1074</v>
      </c>
      <c r="C32" s="13">
        <f>data!C184</f>
        <v>179368.21</v>
      </c>
    </row>
    <row r="33" spans="1:3" ht="20.149999999999999" customHeight="1" x14ac:dyDescent="0.35">
      <c r="A33" s="13">
        <v>23</v>
      </c>
      <c r="B33" s="49" t="s">
        <v>132</v>
      </c>
      <c r="C33" s="13">
        <f>data!C185</f>
        <v>0</v>
      </c>
    </row>
    <row r="34" spans="1:3" ht="20.149999999999999" customHeight="1" x14ac:dyDescent="0.35">
      <c r="A34" s="13">
        <v>24</v>
      </c>
      <c r="B34" s="49" t="s">
        <v>1075</v>
      </c>
      <c r="C34" s="13">
        <f>data!D186</f>
        <v>213987.88</v>
      </c>
    </row>
    <row r="35" spans="1:3" ht="20.149999999999999" customHeight="1" x14ac:dyDescent="0.35">
      <c r="A35" s="57"/>
      <c r="B35" s="45"/>
      <c r="C35" s="98"/>
    </row>
    <row r="36" spans="1:3" ht="20.149999999999999" customHeight="1" x14ac:dyDescent="0.35">
      <c r="A36" s="73"/>
      <c r="B36" s="30"/>
      <c r="C36" s="20"/>
    </row>
    <row r="37" spans="1:3" ht="20.149999999999999" customHeight="1" x14ac:dyDescent="0.35">
      <c r="A37" s="102">
        <v>25</v>
      </c>
      <c r="B37" s="43" t="s">
        <v>323</v>
      </c>
      <c r="C37" s="95"/>
    </row>
    <row r="38" spans="1:3" ht="20.149999999999999" customHeight="1" x14ac:dyDescent="0.35">
      <c r="A38" s="13">
        <v>26</v>
      </c>
      <c r="B38" s="49" t="s">
        <v>1076</v>
      </c>
      <c r="C38" s="13">
        <f>data!C188</f>
        <v>285796.57</v>
      </c>
    </row>
    <row r="39" spans="1:3" ht="20.149999999999999" customHeight="1" x14ac:dyDescent="0.35">
      <c r="A39" s="13">
        <v>27</v>
      </c>
      <c r="B39" s="49" t="s">
        <v>325</v>
      </c>
      <c r="C39" s="13">
        <f>data!C189</f>
        <v>0</v>
      </c>
    </row>
    <row r="40" spans="1:3" ht="20.149999999999999" customHeight="1" x14ac:dyDescent="0.35">
      <c r="A40" s="13">
        <v>28</v>
      </c>
      <c r="B40" s="49" t="s">
        <v>1077</v>
      </c>
      <c r="C40" s="13">
        <f>data!D190</f>
        <v>285796.57</v>
      </c>
    </row>
    <row r="41" spans="1:3" x14ac:dyDescent="0.3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875" defaultRowHeight="20.149999999999999" customHeight="1" x14ac:dyDescent="0.35"/>
  <cols>
    <col min="1" max="1" width="5.75" style="7" customWidth="1"/>
    <col min="2" max="2" width="22.5625" style="7" customWidth="1"/>
    <col min="3" max="5" width="13.75" style="7" customWidth="1"/>
    <col min="6" max="6" width="15.75" style="7" customWidth="1"/>
    <col min="7" max="16384" width="8.875" style="7"/>
  </cols>
  <sheetData>
    <row r="1" spans="1:13" ht="20.149999999999999" customHeight="1" x14ac:dyDescent="0.35">
      <c r="A1" s="4" t="s">
        <v>326</v>
      </c>
      <c r="B1" s="5"/>
      <c r="C1" s="5"/>
      <c r="D1" s="5"/>
      <c r="E1" s="5"/>
      <c r="F1" s="167" t="s">
        <v>1078</v>
      </c>
    </row>
    <row r="2" spans="1:13" ht="20.149999999999999" customHeight="1" x14ac:dyDescent="0.35">
      <c r="A2" s="8"/>
      <c r="B2" s="8"/>
      <c r="C2" s="8"/>
      <c r="D2" s="8"/>
      <c r="E2" s="8"/>
      <c r="F2" s="8"/>
    </row>
    <row r="3" spans="1:13" ht="20.149999999999999" customHeight="1" x14ac:dyDescent="0.35">
      <c r="A3" s="10" t="str">
        <f>"Hospital: "&amp;data!C84</f>
        <v>Hospital: Mid Valley Hospital</v>
      </c>
      <c r="B3" s="8"/>
      <c r="C3" s="8"/>
      <c r="E3" s="11"/>
      <c r="F3" s="12" t="str">
        <f>" FYE: "&amp;data!C82</f>
        <v xml:space="preserve"> FYE: 12/31/2020</v>
      </c>
    </row>
    <row r="4" spans="1:13" ht="20.149999999999999" customHeight="1" x14ac:dyDescent="0.35">
      <c r="A4" s="39" t="s">
        <v>327</v>
      </c>
      <c r="B4" s="36"/>
      <c r="C4" s="36"/>
      <c r="D4" s="71"/>
      <c r="E4" s="71"/>
      <c r="F4" s="36"/>
    </row>
    <row r="5" spans="1:13" ht="20.149999999999999" customHeight="1" x14ac:dyDescent="0.35">
      <c r="A5" s="42"/>
      <c r="B5" s="52"/>
      <c r="C5" s="72" t="s">
        <v>1079</v>
      </c>
      <c r="D5" s="47"/>
      <c r="E5" s="47"/>
      <c r="F5" s="72" t="s">
        <v>1080</v>
      </c>
    </row>
    <row r="6" spans="1:13" ht="20.149999999999999" customHeight="1" x14ac:dyDescent="0.3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49999999999999" customHeight="1" x14ac:dyDescent="0.35">
      <c r="A7" s="13">
        <v>1</v>
      </c>
      <c r="B7" s="14" t="s">
        <v>332</v>
      </c>
      <c r="C7" s="21">
        <f>data!B195</f>
        <v>146305.63</v>
      </c>
      <c r="D7" s="21">
        <f>data!C195</f>
        <v>0</v>
      </c>
      <c r="E7" s="21">
        <f>data!D195</f>
        <v>0</v>
      </c>
      <c r="F7" s="21">
        <f>data!E195</f>
        <v>146305.63</v>
      </c>
    </row>
    <row r="8" spans="1:13" ht="20.149999999999999" customHeight="1" x14ac:dyDescent="0.35">
      <c r="A8" s="13">
        <v>2</v>
      </c>
      <c r="B8" s="14" t="s">
        <v>333</v>
      </c>
      <c r="C8" s="21">
        <f>data!B196</f>
        <v>1128015.8799999999</v>
      </c>
      <c r="D8" s="21">
        <f>data!C196</f>
        <v>-25506.15</v>
      </c>
      <c r="E8" s="21">
        <f>data!D196</f>
        <v>0</v>
      </c>
      <c r="F8" s="21">
        <f>data!E196</f>
        <v>1102509.73</v>
      </c>
    </row>
    <row r="9" spans="1:13" ht="20.149999999999999" customHeight="1" x14ac:dyDescent="0.35">
      <c r="A9" s="13">
        <v>3</v>
      </c>
      <c r="B9" s="14" t="s">
        <v>334</v>
      </c>
      <c r="C9" s="21">
        <f>data!B197</f>
        <v>7901929</v>
      </c>
      <c r="D9" s="21">
        <f>data!C197</f>
        <v>15659.86</v>
      </c>
      <c r="E9" s="21">
        <f>data!D197</f>
        <v>0</v>
      </c>
      <c r="F9" s="21">
        <f>data!E197</f>
        <v>7917588.8600000003</v>
      </c>
    </row>
    <row r="10" spans="1:13" ht="20.149999999999999" customHeight="1" x14ac:dyDescent="0.35">
      <c r="A10" s="13">
        <v>4</v>
      </c>
      <c r="B10" s="14" t="s">
        <v>1083</v>
      </c>
      <c r="C10" s="21">
        <f>data!B198</f>
        <v>5860084.0899999999</v>
      </c>
      <c r="D10" s="21">
        <f>data!C198</f>
        <v>25605.16</v>
      </c>
      <c r="E10" s="21">
        <f>data!D198</f>
        <v>0</v>
      </c>
      <c r="F10" s="21">
        <f>data!E198</f>
        <v>5885689.25</v>
      </c>
    </row>
    <row r="11" spans="1:13" ht="20.149999999999999" customHeight="1" x14ac:dyDescent="0.35">
      <c r="A11" s="13">
        <v>5</v>
      </c>
      <c r="B11" s="14" t="s">
        <v>1084</v>
      </c>
      <c r="C11" s="21">
        <f>data!B199</f>
        <v>290017.28999999998</v>
      </c>
      <c r="D11" s="21">
        <f>data!C199</f>
        <v>8742.51</v>
      </c>
      <c r="E11" s="21">
        <f>data!D199</f>
        <v>772.92</v>
      </c>
      <c r="F11" s="21">
        <f>data!E199</f>
        <v>297986.88</v>
      </c>
    </row>
    <row r="12" spans="1:13" ht="20.149999999999999" customHeight="1" x14ac:dyDescent="0.35">
      <c r="A12" s="13">
        <v>6</v>
      </c>
      <c r="B12" s="14" t="s">
        <v>1085</v>
      </c>
      <c r="C12" s="21">
        <f>data!B200</f>
        <v>10880522.08</v>
      </c>
      <c r="D12" s="21">
        <f>data!C200</f>
        <v>461409.82999999996</v>
      </c>
      <c r="E12" s="21">
        <f>data!D200</f>
        <v>1004209.34</v>
      </c>
      <c r="F12" s="21">
        <f>data!E200</f>
        <v>10337722.57</v>
      </c>
    </row>
    <row r="13" spans="1:13" ht="20.149999999999999" customHeight="1" x14ac:dyDescent="0.3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49999999999999" customHeight="1" x14ac:dyDescent="0.3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49999999999999" customHeight="1" x14ac:dyDescent="0.35">
      <c r="A15" s="13">
        <v>9</v>
      </c>
      <c r="B15" s="14" t="s">
        <v>1087</v>
      </c>
      <c r="C15" s="21">
        <f>data!B203</f>
        <v>54217.53</v>
      </c>
      <c r="D15" s="21">
        <f>data!C203</f>
        <v>51092.5</v>
      </c>
      <c r="E15" s="21">
        <f>data!D203</f>
        <v>54217.53</v>
      </c>
      <c r="F15" s="21">
        <f>data!E203</f>
        <v>51092.5</v>
      </c>
      <c r="M15" s="268"/>
    </row>
    <row r="16" spans="1:13" ht="20.149999999999999" customHeight="1" x14ac:dyDescent="0.35">
      <c r="A16" s="13">
        <v>10</v>
      </c>
      <c r="B16" s="14" t="s">
        <v>661</v>
      </c>
      <c r="C16" s="21">
        <f>data!B204</f>
        <v>26261091.5</v>
      </c>
      <c r="D16" s="21">
        <f>data!C204</f>
        <v>537003.71</v>
      </c>
      <c r="E16" s="21">
        <f>data!D204</f>
        <v>1059199.79</v>
      </c>
      <c r="F16" s="21">
        <f>data!E204</f>
        <v>25738895.420000002</v>
      </c>
    </row>
    <row r="17" spans="1:6" ht="20.149999999999999" customHeight="1" x14ac:dyDescent="0.35">
      <c r="A17" s="73"/>
      <c r="B17" s="30"/>
      <c r="C17" s="30"/>
      <c r="D17" s="30"/>
      <c r="E17" s="30"/>
      <c r="F17" s="20"/>
    </row>
    <row r="18" spans="1:6" ht="20.149999999999999" customHeight="1" x14ac:dyDescent="0.35">
      <c r="A18" s="74"/>
      <c r="B18" s="8"/>
      <c r="C18" s="8"/>
      <c r="D18" s="8"/>
      <c r="E18" s="8"/>
      <c r="F18" s="28"/>
    </row>
    <row r="19" spans="1:6" ht="20.149999999999999" customHeight="1" x14ac:dyDescent="0.35">
      <c r="A19" s="74"/>
      <c r="B19" s="8"/>
      <c r="C19" s="8"/>
      <c r="D19" s="8"/>
      <c r="E19" s="8"/>
      <c r="F19" s="28"/>
    </row>
    <row r="20" spans="1:6" ht="20.149999999999999" customHeight="1" x14ac:dyDescent="0.35">
      <c r="A20" s="39" t="s">
        <v>341</v>
      </c>
      <c r="B20" s="36"/>
      <c r="C20" s="36"/>
      <c r="D20" s="36"/>
      <c r="E20" s="36"/>
      <c r="F20" s="36"/>
    </row>
    <row r="21" spans="1:6" ht="20.149999999999999" customHeight="1" x14ac:dyDescent="0.3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49999999999999" customHeight="1" x14ac:dyDescent="0.3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49999999999999" customHeight="1" x14ac:dyDescent="0.35">
      <c r="A23" s="13">
        <v>11</v>
      </c>
      <c r="B23" s="93" t="s">
        <v>332</v>
      </c>
      <c r="C23" s="92"/>
      <c r="D23" s="92"/>
      <c r="E23" s="92"/>
      <c r="F23" s="92"/>
    </row>
    <row r="24" spans="1:6" ht="20.149999999999999" customHeight="1" x14ac:dyDescent="0.35">
      <c r="A24" s="13">
        <v>12</v>
      </c>
      <c r="B24" s="14" t="s">
        <v>333</v>
      </c>
      <c r="C24" s="21">
        <f>data!B209</f>
        <v>831003.19</v>
      </c>
      <c r="D24" s="21">
        <f>data!C209</f>
        <v>22759.67</v>
      </c>
      <c r="E24" s="21">
        <f>data!D209</f>
        <v>0</v>
      </c>
      <c r="F24" s="21">
        <f>data!E209</f>
        <v>853762.86</v>
      </c>
    </row>
    <row r="25" spans="1:6" ht="20.149999999999999" customHeight="1" x14ac:dyDescent="0.35">
      <c r="A25" s="13">
        <v>13</v>
      </c>
      <c r="B25" s="14" t="s">
        <v>334</v>
      </c>
      <c r="C25" s="21">
        <f>data!B210</f>
        <v>4582787.43</v>
      </c>
      <c r="D25" s="21">
        <f>data!C210</f>
        <v>279098.75</v>
      </c>
      <c r="E25" s="21">
        <f>data!D210</f>
        <v>0</v>
      </c>
      <c r="F25" s="21">
        <f>data!E210</f>
        <v>4861886.18</v>
      </c>
    </row>
    <row r="26" spans="1:6" ht="20.149999999999999" customHeight="1" x14ac:dyDescent="0.35">
      <c r="A26" s="13">
        <v>14</v>
      </c>
      <c r="B26" s="14" t="s">
        <v>1083</v>
      </c>
      <c r="C26" s="21">
        <f>data!B211</f>
        <v>2888371.21</v>
      </c>
      <c r="D26" s="21">
        <f>data!C211</f>
        <v>289538.90000000002</v>
      </c>
      <c r="E26" s="21">
        <f>data!D211</f>
        <v>0</v>
      </c>
      <c r="F26" s="21">
        <f>data!E211</f>
        <v>3177910.11</v>
      </c>
    </row>
    <row r="27" spans="1:6" ht="20.149999999999999" customHeight="1" x14ac:dyDescent="0.35">
      <c r="A27" s="13">
        <v>15</v>
      </c>
      <c r="B27" s="14" t="s">
        <v>1084</v>
      </c>
      <c r="C27" s="21">
        <f>data!B212</f>
        <v>165881.47</v>
      </c>
      <c r="D27" s="21">
        <f>data!C212</f>
        <v>11923.18</v>
      </c>
      <c r="E27" s="21">
        <f>data!D212</f>
        <v>772.92</v>
      </c>
      <c r="F27" s="21">
        <f>data!E212</f>
        <v>177031.72999999998</v>
      </c>
    </row>
    <row r="28" spans="1:6" ht="20.149999999999999" customHeight="1" x14ac:dyDescent="0.35">
      <c r="A28" s="13">
        <v>16</v>
      </c>
      <c r="B28" s="14" t="s">
        <v>1085</v>
      </c>
      <c r="C28" s="21">
        <f>data!B213</f>
        <v>6664790.0300000003</v>
      </c>
      <c r="D28" s="21">
        <f>data!C213</f>
        <v>1401879.33</v>
      </c>
      <c r="E28" s="21">
        <f>data!D213</f>
        <v>995384.62</v>
      </c>
      <c r="F28" s="21">
        <f>data!E213</f>
        <v>7071284.7400000002</v>
      </c>
    </row>
    <row r="29" spans="1:6" ht="20.149999999999999" customHeight="1" x14ac:dyDescent="0.3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49999999999999" customHeight="1" x14ac:dyDescent="0.3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49999999999999" customHeight="1" x14ac:dyDescent="0.3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49999999999999" customHeight="1" x14ac:dyDescent="0.35">
      <c r="A32" s="13">
        <v>20</v>
      </c>
      <c r="B32" s="14" t="s">
        <v>661</v>
      </c>
      <c r="C32" s="21">
        <f>data!B217</f>
        <v>15132833.329999998</v>
      </c>
      <c r="D32" s="21">
        <f>data!C217</f>
        <v>2005199.83</v>
      </c>
      <c r="E32" s="21">
        <f>data!D217</f>
        <v>996157.54</v>
      </c>
      <c r="F32" s="21">
        <f>data!E217</f>
        <v>16141875.620000001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875" defaultRowHeight="20.149999999999999" customHeight="1" x14ac:dyDescent="0.3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875" style="7"/>
  </cols>
  <sheetData>
    <row r="1" spans="1:13" ht="20.149999999999999" customHeight="1" x14ac:dyDescent="0.35">
      <c r="A1" s="6" t="s">
        <v>1089</v>
      </c>
      <c r="B1" s="6"/>
      <c r="C1" s="6"/>
      <c r="D1" s="169" t="s">
        <v>1090</v>
      </c>
    </row>
    <row r="2" spans="1:13" ht="20.149999999999999" customHeight="1" x14ac:dyDescent="0.35">
      <c r="A2" s="29" t="str">
        <f>"Hospital: "&amp;data!C84</f>
        <v>Hospital: Mid Valley Hospital</v>
      </c>
      <c r="B2" s="30"/>
      <c r="C2" s="30"/>
      <c r="D2" s="31" t="str">
        <f>"FYE: "&amp;data!C82</f>
        <v>FYE: 12/31/2020</v>
      </c>
    </row>
    <row r="3" spans="1:13" ht="20.149999999999999" customHeight="1" x14ac:dyDescent="0.35">
      <c r="A3" s="42"/>
      <c r="B3" s="52"/>
      <c r="C3" s="52"/>
      <c r="D3" s="52"/>
    </row>
    <row r="4" spans="1:13" ht="20.149999999999999" customHeight="1" x14ac:dyDescent="0.35">
      <c r="A4" s="53"/>
      <c r="B4" s="41" t="s">
        <v>1091</v>
      </c>
      <c r="C4" s="41" t="s">
        <v>1092</v>
      </c>
      <c r="D4" s="54"/>
    </row>
    <row r="5" spans="1:13" ht="20.149999999999999" customHeight="1" x14ac:dyDescent="0.35">
      <c r="A5" s="102">
        <v>1</v>
      </c>
      <c r="B5" s="55"/>
      <c r="C5" s="22" t="s">
        <v>1255</v>
      </c>
      <c r="D5" s="14">
        <f>data!D221</f>
        <v>1231512.6000000001</v>
      </c>
    </row>
    <row r="6" spans="1:13" ht="20.149999999999999" customHeight="1" x14ac:dyDescent="0.35">
      <c r="A6" s="13">
        <v>2</v>
      </c>
      <c r="B6" s="30"/>
      <c r="C6" s="31" t="s">
        <v>432</v>
      </c>
      <c r="D6" s="25"/>
    </row>
    <row r="7" spans="1:13" ht="20.149999999999999" customHeight="1" x14ac:dyDescent="0.35">
      <c r="A7" s="13">
        <v>3</v>
      </c>
      <c r="B7" s="55">
        <v>5810</v>
      </c>
      <c r="C7" s="14" t="s">
        <v>296</v>
      </c>
      <c r="D7" s="14">
        <f>data!C223</f>
        <v>15627036.450000001</v>
      </c>
    </row>
    <row r="8" spans="1:13" ht="20.149999999999999" customHeight="1" x14ac:dyDescent="0.35">
      <c r="A8" s="13">
        <v>4</v>
      </c>
      <c r="B8" s="55">
        <v>5820</v>
      </c>
      <c r="C8" s="14" t="s">
        <v>297</v>
      </c>
      <c r="D8" s="14">
        <f>data!C224</f>
        <v>11981259.690000001</v>
      </c>
    </row>
    <row r="9" spans="1:13" ht="20.149999999999999" customHeight="1" x14ac:dyDescent="0.35">
      <c r="A9" s="13">
        <v>5</v>
      </c>
      <c r="B9" s="55">
        <v>5830</v>
      </c>
      <c r="C9" s="14" t="s">
        <v>309</v>
      </c>
      <c r="D9" s="14">
        <f>data!C225</f>
        <v>1163373.8400000001</v>
      </c>
    </row>
    <row r="10" spans="1:13" ht="20.149999999999999" customHeight="1" x14ac:dyDescent="0.35">
      <c r="A10" s="13">
        <v>6</v>
      </c>
      <c r="B10" s="55">
        <v>5840</v>
      </c>
      <c r="C10" s="14" t="s">
        <v>347</v>
      </c>
      <c r="D10" s="14">
        <f>data!C226</f>
        <v>357702.24</v>
      </c>
    </row>
    <row r="11" spans="1:13" ht="20.149999999999999" customHeight="1" x14ac:dyDescent="0.35">
      <c r="A11" s="13">
        <v>7</v>
      </c>
      <c r="B11" s="55">
        <v>5850</v>
      </c>
      <c r="C11" s="14" t="s">
        <v>1093</v>
      </c>
      <c r="D11" s="14">
        <f>data!C227</f>
        <v>3857370.1</v>
      </c>
    </row>
    <row r="12" spans="1:13" ht="20.149999999999999" customHeight="1" x14ac:dyDescent="0.3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49999999999999" customHeight="1" x14ac:dyDescent="0.35">
      <c r="A13" s="23">
        <v>9</v>
      </c>
      <c r="B13" s="24"/>
      <c r="C13" s="14" t="s">
        <v>1094</v>
      </c>
      <c r="D13" s="14">
        <f>data!D229</f>
        <v>32986742.32</v>
      </c>
    </row>
    <row r="14" spans="1:13" ht="20.149999999999999" customHeight="1" x14ac:dyDescent="0.35">
      <c r="A14" s="81">
        <v>10</v>
      </c>
      <c r="B14" s="56"/>
      <c r="C14" s="56"/>
      <c r="D14" s="56"/>
    </row>
    <row r="15" spans="1:13" ht="20.149999999999999" customHeight="1" x14ac:dyDescent="0.35">
      <c r="A15" s="23">
        <v>11</v>
      </c>
      <c r="B15" s="58"/>
      <c r="C15" s="9" t="s">
        <v>351</v>
      </c>
      <c r="D15" s="25"/>
    </row>
    <row r="16" spans="1:13" ht="20.149999999999999" customHeight="1" x14ac:dyDescent="0.35">
      <c r="A16" s="81">
        <v>12</v>
      </c>
      <c r="B16" s="56"/>
      <c r="C16" s="49" t="s">
        <v>1095</v>
      </c>
      <c r="D16" s="140">
        <f>+data!C231</f>
        <v>2155</v>
      </c>
      <c r="M16" s="268"/>
    </row>
    <row r="17" spans="1:4" ht="20.149999999999999" customHeight="1" x14ac:dyDescent="0.35">
      <c r="A17" s="23">
        <v>13</v>
      </c>
      <c r="B17" s="58"/>
      <c r="C17" s="45"/>
      <c r="D17" s="83"/>
    </row>
    <row r="18" spans="1:4" ht="20.149999999999999" customHeight="1" x14ac:dyDescent="0.35">
      <c r="A18" s="13">
        <v>14</v>
      </c>
      <c r="B18" s="59">
        <v>5900</v>
      </c>
      <c r="C18" s="14" t="s">
        <v>353</v>
      </c>
      <c r="D18" s="60">
        <f>data!C233</f>
        <v>240539.05</v>
      </c>
    </row>
    <row r="19" spans="1:4" ht="20.149999999999999" customHeight="1" x14ac:dyDescent="0.35">
      <c r="A19" s="61">
        <v>15</v>
      </c>
      <c r="B19" s="55">
        <v>5910</v>
      </c>
      <c r="C19" s="22" t="s">
        <v>1096</v>
      </c>
      <c r="D19" s="14">
        <f>data!C234</f>
        <v>1034144.28</v>
      </c>
    </row>
    <row r="20" spans="1:4" ht="20.149999999999999" customHeight="1" x14ac:dyDescent="0.35">
      <c r="A20" s="23">
        <v>16</v>
      </c>
      <c r="B20" s="24"/>
      <c r="C20" s="24"/>
      <c r="D20" s="56"/>
    </row>
    <row r="21" spans="1:4" ht="20.149999999999999" customHeight="1" x14ac:dyDescent="0.35">
      <c r="A21" s="23">
        <v>17</v>
      </c>
      <c r="B21" s="56"/>
      <c r="C21" s="56"/>
      <c r="D21" s="56"/>
    </row>
    <row r="22" spans="1:4" ht="20.149999999999999" customHeight="1" x14ac:dyDescent="0.35">
      <c r="A22" s="81">
        <v>18</v>
      </c>
      <c r="B22" s="56"/>
      <c r="C22" s="15" t="s">
        <v>1097</v>
      </c>
      <c r="D22" s="14">
        <f>data!D236</f>
        <v>1274683.33</v>
      </c>
    </row>
    <row r="23" spans="1:4" ht="20.149999999999999" customHeight="1" x14ac:dyDescent="0.35">
      <c r="A23" s="62">
        <v>19</v>
      </c>
      <c r="B23" s="58"/>
      <c r="C23" s="58"/>
      <c r="D23" s="25"/>
    </row>
    <row r="24" spans="1:4" ht="20.149999999999999" customHeight="1" x14ac:dyDescent="0.35">
      <c r="A24" s="274">
        <v>20</v>
      </c>
      <c r="B24" s="55">
        <v>5970</v>
      </c>
      <c r="C24" s="14" t="s">
        <v>357</v>
      </c>
      <c r="D24" s="14">
        <f>data!C238</f>
        <v>4196357.55</v>
      </c>
    </row>
    <row r="25" spans="1:4" ht="20.149999999999999" customHeight="1" x14ac:dyDescent="0.35">
      <c r="A25" s="62">
        <v>21</v>
      </c>
      <c r="B25" s="30"/>
      <c r="C25" s="30"/>
      <c r="D25" s="25"/>
    </row>
    <row r="26" spans="1:4" ht="20.149999999999999" customHeight="1" x14ac:dyDescent="0.35">
      <c r="A26" s="23">
        <v>22</v>
      </c>
      <c r="B26" s="55">
        <v>5980</v>
      </c>
      <c r="C26" s="14" t="s">
        <v>1098</v>
      </c>
      <c r="D26" s="14">
        <f>data!C239</f>
        <v>121066.56</v>
      </c>
    </row>
    <row r="27" spans="1:4" ht="20.149999999999999" customHeight="1" x14ac:dyDescent="0.35">
      <c r="A27" s="64">
        <v>23</v>
      </c>
      <c r="B27" s="63" t="s">
        <v>1099</v>
      </c>
      <c r="C27" s="56"/>
      <c r="D27" s="14">
        <f>data!D242</f>
        <v>39810362.359999999</v>
      </c>
    </row>
    <row r="28" spans="1:4" ht="20.149999999999999" customHeight="1" x14ac:dyDescent="0.35">
      <c r="A28" s="126">
        <v>24</v>
      </c>
      <c r="B28" s="65" t="s">
        <v>1100</v>
      </c>
      <c r="C28" s="50"/>
      <c r="D28" s="54"/>
    </row>
    <row r="29" spans="1:4" ht="20.149999999999999" customHeight="1" x14ac:dyDescent="0.35">
      <c r="A29" s="66"/>
      <c r="B29" s="67"/>
      <c r="C29" s="67"/>
      <c r="D29" s="56"/>
    </row>
    <row r="30" spans="1:4" ht="20.149999999999999" customHeight="1" x14ac:dyDescent="0.35">
      <c r="A30" s="68"/>
      <c r="B30" s="38"/>
      <c r="C30" s="38"/>
      <c r="D30" s="56"/>
    </row>
    <row r="31" spans="1:4" ht="20.149999999999999" customHeight="1" x14ac:dyDescent="0.35">
      <c r="A31" s="68"/>
      <c r="B31" s="38"/>
      <c r="C31" s="38"/>
      <c r="D31" s="56"/>
    </row>
    <row r="32" spans="1:4" ht="20.149999999999999" customHeight="1" x14ac:dyDescent="0.35">
      <c r="A32" s="68"/>
      <c r="B32" s="38"/>
      <c r="C32" s="38"/>
      <c r="D32" s="56"/>
    </row>
    <row r="33" spans="1:4" ht="20.149999999999999" customHeight="1" x14ac:dyDescent="0.35">
      <c r="A33" s="68"/>
      <c r="B33" s="38"/>
      <c r="C33" s="38"/>
      <c r="D33" s="24"/>
    </row>
    <row r="34" spans="1:4" ht="20.149999999999999" customHeight="1" x14ac:dyDescent="0.3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153"/>
  <sheetViews>
    <sheetView showGridLines="0" topLeftCell="A70" zoomScale="75" workbookViewId="0">
      <selection activeCell="C115" sqref="C115"/>
    </sheetView>
  </sheetViews>
  <sheetFormatPr defaultColWidth="57.4375" defaultRowHeight="15" x14ac:dyDescent="0.35"/>
  <cols>
    <col min="1" max="1" width="5.75" style="7" customWidth="1"/>
    <col min="2" max="2" width="55.75" style="7" customWidth="1"/>
    <col min="3" max="3" width="22" style="7" customWidth="1"/>
    <col min="4" max="4" width="5.6875" style="7" customWidth="1"/>
    <col min="5" max="16384" width="57.4375" style="7"/>
  </cols>
  <sheetData>
    <row r="1" spans="1:13" ht="20.149999999999999" customHeight="1" x14ac:dyDescent="0.35">
      <c r="A1" s="4" t="s">
        <v>1101</v>
      </c>
      <c r="B1" s="5"/>
      <c r="C1" s="6"/>
    </row>
    <row r="2" spans="1:13" ht="20.149999999999999" customHeight="1" x14ac:dyDescent="0.35">
      <c r="A2" s="4"/>
      <c r="B2" s="5"/>
      <c r="C2" s="167" t="s">
        <v>1102</v>
      </c>
    </row>
    <row r="3" spans="1:13" ht="20.149999999999999" customHeight="1" x14ac:dyDescent="0.35">
      <c r="A3" s="29" t="str">
        <f>"HOSPITAL: "&amp;data!C84</f>
        <v>HOSPITAL: Mid Valley Hospital</v>
      </c>
      <c r="B3" s="30"/>
      <c r="C3" s="31" t="str">
        <f>" FYE: "&amp;data!C82</f>
        <v xml:space="preserve"> FYE: 12/31/2020</v>
      </c>
    </row>
    <row r="4" spans="1:13" ht="20.149999999999999" customHeight="1" x14ac:dyDescent="0.35">
      <c r="A4" s="32"/>
      <c r="B4" s="33" t="s">
        <v>1103</v>
      </c>
      <c r="C4" s="34"/>
    </row>
    <row r="5" spans="1:13" ht="20.149999999999999" customHeight="1" x14ac:dyDescent="0.35">
      <c r="A5" s="23">
        <v>1</v>
      </c>
      <c r="B5" s="35" t="s">
        <v>361</v>
      </c>
      <c r="C5" s="36"/>
    </row>
    <row r="6" spans="1:13" ht="20.149999999999999" customHeight="1" x14ac:dyDescent="0.35">
      <c r="A6" s="13">
        <v>2</v>
      </c>
      <c r="B6" s="14" t="s">
        <v>362</v>
      </c>
      <c r="C6" s="21">
        <f>data!C250</f>
        <v>16071007.82</v>
      </c>
    </row>
    <row r="7" spans="1:13" ht="20.149999999999999" customHeight="1" x14ac:dyDescent="0.35">
      <c r="A7" s="13">
        <v>3</v>
      </c>
      <c r="B7" s="14" t="s">
        <v>363</v>
      </c>
      <c r="C7" s="21">
        <f>data!C251</f>
        <v>0</v>
      </c>
    </row>
    <row r="8" spans="1:13" ht="20.149999999999999" customHeight="1" x14ac:dyDescent="0.35">
      <c r="A8" s="13">
        <v>4</v>
      </c>
      <c r="B8" s="14" t="s">
        <v>364</v>
      </c>
      <c r="C8" s="21">
        <f>data!C252</f>
        <v>14860946.66</v>
      </c>
    </row>
    <row r="9" spans="1:13" ht="20.149999999999999" customHeight="1" x14ac:dyDescent="0.35">
      <c r="A9" s="13">
        <v>5</v>
      </c>
      <c r="B9" s="14" t="s">
        <v>1104</v>
      </c>
      <c r="C9" s="21">
        <f>data!C253</f>
        <v>9406949.5</v>
      </c>
    </row>
    <row r="10" spans="1:13" ht="20.149999999999999" customHeight="1" x14ac:dyDescent="0.35">
      <c r="A10" s="13">
        <v>6</v>
      </c>
      <c r="B10" s="14" t="s">
        <v>1105</v>
      </c>
      <c r="C10" s="21">
        <f>data!C254</f>
        <v>593589.56000000006</v>
      </c>
    </row>
    <row r="11" spans="1:13" ht="20.149999999999999" customHeight="1" x14ac:dyDescent="0.35">
      <c r="A11" s="13">
        <v>7</v>
      </c>
      <c r="B11" s="14" t="s">
        <v>1106</v>
      </c>
      <c r="C11" s="21">
        <f>data!C255</f>
        <v>170240.61</v>
      </c>
    </row>
    <row r="12" spans="1:13" ht="20.149999999999999" customHeight="1" x14ac:dyDescent="0.35">
      <c r="A12" s="13">
        <v>8</v>
      </c>
      <c r="B12" s="14" t="s">
        <v>367</v>
      </c>
      <c r="C12" s="21">
        <f>data!C256</f>
        <v>0</v>
      </c>
    </row>
    <row r="13" spans="1:13" ht="20.149999999999999" customHeight="1" x14ac:dyDescent="0.35">
      <c r="A13" s="13">
        <v>9</v>
      </c>
      <c r="B13" s="14" t="s">
        <v>368</v>
      </c>
      <c r="C13" s="21">
        <f>data!C257</f>
        <v>829927.72</v>
      </c>
    </row>
    <row r="14" spans="1:13" ht="20.149999999999999" customHeight="1" x14ac:dyDescent="0.35">
      <c r="A14" s="13">
        <v>10</v>
      </c>
      <c r="B14" s="14" t="s">
        <v>369</v>
      </c>
      <c r="C14" s="21">
        <f>data!C258</f>
        <v>192693.77</v>
      </c>
    </row>
    <row r="15" spans="1:13" ht="20.149999999999999" customHeight="1" x14ac:dyDescent="0.35">
      <c r="A15" s="13">
        <v>11</v>
      </c>
      <c r="B15" s="14" t="s">
        <v>1107</v>
      </c>
      <c r="C15" s="21">
        <f>data!C259</f>
        <v>0</v>
      </c>
      <c r="M15" s="268"/>
    </row>
    <row r="16" spans="1:13" ht="20.149999999999999" customHeight="1" x14ac:dyDescent="0.35">
      <c r="A16" s="13">
        <v>12</v>
      </c>
      <c r="B16" s="14" t="s">
        <v>1108</v>
      </c>
      <c r="C16" s="21">
        <f>data!D260</f>
        <v>23311456.640000001</v>
      </c>
    </row>
    <row r="17" spans="1:3" ht="20.149999999999999" customHeight="1" x14ac:dyDescent="0.35">
      <c r="A17" s="13">
        <v>13</v>
      </c>
      <c r="B17" s="24"/>
      <c r="C17" s="24"/>
    </row>
    <row r="18" spans="1:3" ht="20.149999999999999" customHeight="1" x14ac:dyDescent="0.35">
      <c r="A18" s="13">
        <v>14</v>
      </c>
      <c r="B18" s="37" t="s">
        <v>1109</v>
      </c>
      <c r="C18" s="36"/>
    </row>
    <row r="19" spans="1:3" ht="20.149999999999999" customHeight="1" x14ac:dyDescent="0.35">
      <c r="A19" s="13">
        <v>15</v>
      </c>
      <c r="B19" s="14" t="s">
        <v>362</v>
      </c>
      <c r="C19" s="21">
        <f>data!C262</f>
        <v>716352.59</v>
      </c>
    </row>
    <row r="20" spans="1:3" ht="20.149999999999999" customHeight="1" x14ac:dyDescent="0.35">
      <c r="A20" s="13">
        <v>16</v>
      </c>
      <c r="B20" s="14" t="s">
        <v>363</v>
      </c>
      <c r="C20" s="21">
        <f>data!C263</f>
        <v>0</v>
      </c>
    </row>
    <row r="21" spans="1:3" ht="20.149999999999999" customHeight="1" x14ac:dyDescent="0.35">
      <c r="A21" s="13">
        <v>17</v>
      </c>
      <c r="B21" s="14" t="s">
        <v>373</v>
      </c>
      <c r="C21" s="21">
        <f>data!C264</f>
        <v>0</v>
      </c>
    </row>
    <row r="22" spans="1:3" ht="20.149999999999999" customHeight="1" x14ac:dyDescent="0.35">
      <c r="A22" s="13">
        <v>18</v>
      </c>
      <c r="B22" s="14" t="s">
        <v>1110</v>
      </c>
      <c r="C22" s="21">
        <f>data!D265</f>
        <v>716352.59</v>
      </c>
    </row>
    <row r="23" spans="1:3" ht="20.149999999999999" customHeight="1" x14ac:dyDescent="0.35">
      <c r="A23" s="13">
        <v>19</v>
      </c>
      <c r="B23" s="38"/>
      <c r="C23" s="24"/>
    </row>
    <row r="24" spans="1:3" ht="20.149999999999999" customHeight="1" x14ac:dyDescent="0.35">
      <c r="A24" s="13">
        <v>20</v>
      </c>
      <c r="B24" s="37" t="s">
        <v>1111</v>
      </c>
      <c r="C24" s="36"/>
    </row>
    <row r="25" spans="1:3" ht="20.149999999999999" customHeight="1" x14ac:dyDescent="0.35">
      <c r="A25" s="13">
        <v>21</v>
      </c>
      <c r="B25" s="14" t="s">
        <v>332</v>
      </c>
      <c r="C25" s="21">
        <f>data!C267</f>
        <v>146305.63</v>
      </c>
    </row>
    <row r="26" spans="1:3" ht="20.149999999999999" customHeight="1" x14ac:dyDescent="0.35">
      <c r="A26" s="13">
        <v>22</v>
      </c>
      <c r="B26" s="14" t="s">
        <v>333</v>
      </c>
      <c r="C26" s="21">
        <f>data!C268</f>
        <v>1102509.73</v>
      </c>
    </row>
    <row r="27" spans="1:3" ht="20.149999999999999" customHeight="1" x14ac:dyDescent="0.35">
      <c r="A27" s="13">
        <v>23</v>
      </c>
      <c r="B27" s="14" t="s">
        <v>334</v>
      </c>
      <c r="C27" s="21">
        <f>data!C269</f>
        <v>7917589.3899999997</v>
      </c>
    </row>
    <row r="28" spans="1:3" ht="20.149999999999999" customHeight="1" x14ac:dyDescent="0.35">
      <c r="A28" s="13">
        <v>24</v>
      </c>
      <c r="B28" s="14" t="s">
        <v>1112</v>
      </c>
      <c r="C28" s="21">
        <f>data!C270</f>
        <v>5885689.25</v>
      </c>
    </row>
    <row r="29" spans="1:3" ht="20.149999999999999" customHeight="1" x14ac:dyDescent="0.35">
      <c r="A29" s="13">
        <v>25</v>
      </c>
      <c r="B29" s="14" t="s">
        <v>336</v>
      </c>
      <c r="C29" s="21">
        <f>data!C271</f>
        <v>297986.88</v>
      </c>
    </row>
    <row r="30" spans="1:3" ht="20.149999999999999" customHeight="1" x14ac:dyDescent="0.35">
      <c r="A30" s="13">
        <v>26</v>
      </c>
      <c r="B30" s="14" t="s">
        <v>378</v>
      </c>
      <c r="C30" s="21">
        <f>data!C272</f>
        <v>10337722.27</v>
      </c>
    </row>
    <row r="31" spans="1:3" ht="20.149999999999999" customHeight="1" x14ac:dyDescent="0.35">
      <c r="A31" s="13">
        <v>27</v>
      </c>
      <c r="B31" s="14" t="s">
        <v>339</v>
      </c>
      <c r="C31" s="21">
        <f>data!C273</f>
        <v>0</v>
      </c>
    </row>
    <row r="32" spans="1:3" ht="20.149999999999999" customHeight="1" x14ac:dyDescent="0.35">
      <c r="A32" s="13">
        <v>28</v>
      </c>
      <c r="B32" s="14" t="s">
        <v>340</v>
      </c>
      <c r="C32" s="21">
        <f>data!C274</f>
        <v>51092.5</v>
      </c>
    </row>
    <row r="33" spans="1:3" ht="20.149999999999999" customHeight="1" x14ac:dyDescent="0.35">
      <c r="A33" s="13">
        <v>29</v>
      </c>
      <c r="B33" s="14" t="s">
        <v>661</v>
      </c>
      <c r="C33" s="21">
        <f>data!D275</f>
        <v>25738895.649999999</v>
      </c>
    </row>
    <row r="34" spans="1:3" ht="20.149999999999999" customHeight="1" x14ac:dyDescent="0.35">
      <c r="A34" s="13">
        <v>30</v>
      </c>
      <c r="B34" s="14" t="s">
        <v>1113</v>
      </c>
      <c r="C34" s="21">
        <f>data!C276</f>
        <v>16141875.619999999</v>
      </c>
    </row>
    <row r="35" spans="1:3" ht="20.149999999999999" customHeight="1" x14ac:dyDescent="0.35">
      <c r="A35" s="13">
        <v>31</v>
      </c>
      <c r="B35" s="14" t="s">
        <v>1114</v>
      </c>
      <c r="C35" s="21">
        <f>data!D277</f>
        <v>9597020.0299999993</v>
      </c>
    </row>
    <row r="36" spans="1:3" ht="20.149999999999999" customHeight="1" x14ac:dyDescent="0.35">
      <c r="A36" s="13">
        <v>32</v>
      </c>
      <c r="B36" s="38"/>
      <c r="C36" s="24"/>
    </row>
    <row r="37" spans="1:3" ht="20.149999999999999" customHeight="1" x14ac:dyDescent="0.35">
      <c r="A37" s="23">
        <v>33</v>
      </c>
      <c r="B37" s="37" t="s">
        <v>1115</v>
      </c>
      <c r="C37" s="36"/>
    </row>
    <row r="38" spans="1:3" ht="20.149999999999999" customHeight="1" x14ac:dyDescent="0.35">
      <c r="A38" s="13">
        <v>34</v>
      </c>
      <c r="B38" s="14" t="s">
        <v>1116</v>
      </c>
      <c r="C38" s="21">
        <f>data!C279</f>
        <v>1583839.38</v>
      </c>
    </row>
    <row r="39" spans="1:3" ht="20.149999999999999" customHeight="1" x14ac:dyDescent="0.35">
      <c r="A39" s="13">
        <v>35</v>
      </c>
      <c r="B39" s="14" t="s">
        <v>1117</v>
      </c>
      <c r="C39" s="21">
        <f>data!C280</f>
        <v>1332592.8999999999</v>
      </c>
    </row>
    <row r="40" spans="1:3" ht="20.149999999999999" customHeight="1" x14ac:dyDescent="0.35">
      <c r="A40" s="13">
        <v>36</v>
      </c>
      <c r="B40" s="14" t="s">
        <v>385</v>
      </c>
      <c r="C40" s="21">
        <f>data!C281</f>
        <v>0</v>
      </c>
    </row>
    <row r="41" spans="1:3" ht="20.149999999999999" customHeight="1" x14ac:dyDescent="0.35">
      <c r="A41" s="13">
        <v>37</v>
      </c>
      <c r="B41" s="14" t="s">
        <v>373</v>
      </c>
      <c r="C41" s="21">
        <f>data!C282</f>
        <v>0</v>
      </c>
    </row>
    <row r="42" spans="1:3" ht="20.149999999999999" customHeight="1" x14ac:dyDescent="0.35">
      <c r="A42" s="13">
        <v>38</v>
      </c>
      <c r="B42" s="14" t="s">
        <v>1118</v>
      </c>
      <c r="C42" s="21">
        <f>data!D283</f>
        <v>251246.47999999998</v>
      </c>
    </row>
    <row r="43" spans="1:3" ht="20.149999999999999" customHeight="1" x14ac:dyDescent="0.35">
      <c r="A43" s="13">
        <v>39</v>
      </c>
      <c r="B43" s="38"/>
      <c r="C43" s="24"/>
    </row>
    <row r="44" spans="1:3" ht="20.149999999999999" customHeight="1" x14ac:dyDescent="0.35">
      <c r="A44" s="23">
        <v>40</v>
      </c>
      <c r="B44" s="37" t="s">
        <v>1119</v>
      </c>
      <c r="C44" s="36"/>
    </row>
    <row r="45" spans="1:3" ht="20.149999999999999" customHeight="1" x14ac:dyDescent="0.35">
      <c r="A45" s="13">
        <v>41</v>
      </c>
      <c r="B45" s="14" t="s">
        <v>388</v>
      </c>
      <c r="C45" s="21">
        <f>data!C286</f>
        <v>0</v>
      </c>
    </row>
    <row r="46" spans="1:3" ht="20.149999999999999" customHeight="1" x14ac:dyDescent="0.35">
      <c r="A46" s="13">
        <v>42</v>
      </c>
      <c r="B46" s="14" t="s">
        <v>389</v>
      </c>
      <c r="C46" s="21">
        <f>data!C287</f>
        <v>0</v>
      </c>
    </row>
    <row r="47" spans="1:3" ht="20.149999999999999" customHeight="1" x14ac:dyDescent="0.35">
      <c r="A47" s="13">
        <v>43</v>
      </c>
      <c r="B47" s="14" t="s">
        <v>1120</v>
      </c>
      <c r="C47" s="21">
        <f>data!C288</f>
        <v>0</v>
      </c>
    </row>
    <row r="48" spans="1:3" ht="20.149999999999999" customHeight="1" x14ac:dyDescent="0.35">
      <c r="A48" s="13">
        <v>44</v>
      </c>
      <c r="B48" s="14" t="s">
        <v>391</v>
      </c>
      <c r="C48" s="21">
        <f>data!C289</f>
        <v>0</v>
      </c>
    </row>
    <row r="49" spans="1:3" ht="20.149999999999999" customHeight="1" x14ac:dyDescent="0.35">
      <c r="A49" s="13">
        <v>45</v>
      </c>
      <c r="B49" s="14" t="s">
        <v>1121</v>
      </c>
      <c r="C49" s="21">
        <f>data!D290</f>
        <v>0</v>
      </c>
    </row>
    <row r="50" spans="1:3" ht="20.149999999999999" customHeight="1" x14ac:dyDescent="0.35">
      <c r="A50" s="40">
        <v>46</v>
      </c>
      <c r="B50" s="41" t="s">
        <v>1122</v>
      </c>
      <c r="C50" s="21">
        <f>data!D292</f>
        <v>33876075.739999995</v>
      </c>
    </row>
    <row r="51" spans="1:3" ht="20.149999999999999" customHeight="1" x14ac:dyDescent="0.35"/>
    <row r="52" spans="1:3" ht="20.149999999999999" customHeight="1" x14ac:dyDescent="0.35"/>
    <row r="53" spans="1:3" ht="20.149999999999999" customHeight="1" x14ac:dyDescent="0.35">
      <c r="A53" s="4" t="s">
        <v>1123</v>
      </c>
      <c r="B53" s="5"/>
      <c r="C53" s="6"/>
    </row>
    <row r="54" spans="1:3" ht="20.149999999999999" customHeight="1" x14ac:dyDescent="0.35">
      <c r="A54" s="4"/>
      <c r="B54" s="5"/>
      <c r="C54" s="167" t="s">
        <v>1124</v>
      </c>
    </row>
    <row r="55" spans="1:3" ht="20.149999999999999" customHeight="1" x14ac:dyDescent="0.35">
      <c r="A55" s="29" t="str">
        <f>"HOSPITAL: "&amp;data!C84</f>
        <v>HOSPITAL: Mid Valley Hospital</v>
      </c>
      <c r="B55" s="30"/>
      <c r="C55" s="31" t="str">
        <f>"FYE: "&amp;data!C82</f>
        <v>FYE: 12/31/2020</v>
      </c>
    </row>
    <row r="56" spans="1:3" ht="20.149999999999999" customHeight="1" x14ac:dyDescent="0.35">
      <c r="A56" s="42"/>
      <c r="B56" s="43" t="s">
        <v>1125</v>
      </c>
      <c r="C56" s="34"/>
    </row>
    <row r="57" spans="1:3" ht="20.149999999999999" customHeight="1" x14ac:dyDescent="0.35">
      <c r="A57" s="16">
        <v>1</v>
      </c>
      <c r="B57" s="4" t="s">
        <v>395</v>
      </c>
      <c r="C57" s="44"/>
    </row>
    <row r="58" spans="1:3" ht="20.149999999999999" customHeight="1" x14ac:dyDescent="0.35">
      <c r="A58" s="13">
        <v>2</v>
      </c>
      <c r="B58" s="14" t="s">
        <v>396</v>
      </c>
      <c r="C58" s="21">
        <f>data!C304</f>
        <v>0</v>
      </c>
    </row>
    <row r="59" spans="1:3" ht="20.149999999999999" customHeight="1" x14ac:dyDescent="0.35">
      <c r="A59" s="13">
        <v>3</v>
      </c>
      <c r="B59" s="14" t="s">
        <v>1126</v>
      </c>
      <c r="C59" s="21">
        <f>data!C305</f>
        <v>736481.36</v>
      </c>
    </row>
    <row r="60" spans="1:3" ht="20.149999999999999" customHeight="1" x14ac:dyDescent="0.35">
      <c r="A60" s="13">
        <v>4</v>
      </c>
      <c r="B60" s="14" t="s">
        <v>1127</v>
      </c>
      <c r="C60" s="21">
        <f>data!C306</f>
        <v>1507054.27</v>
      </c>
    </row>
    <row r="61" spans="1:3" ht="20.149999999999999" customHeight="1" x14ac:dyDescent="0.35">
      <c r="A61" s="13">
        <v>5</v>
      </c>
      <c r="B61" s="14" t="s">
        <v>399</v>
      </c>
      <c r="C61" s="21">
        <f>data!C307</f>
        <v>0</v>
      </c>
    </row>
    <row r="62" spans="1:3" ht="20.149999999999999" customHeight="1" x14ac:dyDescent="0.35">
      <c r="A62" s="13">
        <v>6</v>
      </c>
      <c r="B62" s="14" t="s">
        <v>1128</v>
      </c>
      <c r="C62" s="21">
        <f>data!C308</f>
        <v>0</v>
      </c>
    </row>
    <row r="63" spans="1:3" ht="20.149999999999999" customHeight="1" x14ac:dyDescent="0.35">
      <c r="A63" s="13">
        <v>7</v>
      </c>
      <c r="B63" s="14" t="s">
        <v>1129</v>
      </c>
      <c r="C63" s="21">
        <f>data!C309</f>
        <v>9798756.4399999995</v>
      </c>
    </row>
    <row r="64" spans="1:3" ht="20.149999999999999" customHeight="1" x14ac:dyDescent="0.35">
      <c r="A64" s="13">
        <v>8</v>
      </c>
      <c r="B64" s="14" t="s">
        <v>401</v>
      </c>
      <c r="C64" s="21">
        <f>data!C310</f>
        <v>0</v>
      </c>
    </row>
    <row r="65" spans="1:3" ht="20.149999999999999" customHeight="1" x14ac:dyDescent="0.35">
      <c r="A65" s="13">
        <v>9</v>
      </c>
      <c r="B65" s="14" t="s">
        <v>402</v>
      </c>
      <c r="C65" s="21">
        <f>data!C311</f>
        <v>0</v>
      </c>
    </row>
    <row r="66" spans="1:3" ht="20.149999999999999" customHeight="1" x14ac:dyDescent="0.35">
      <c r="A66" s="13">
        <v>10</v>
      </c>
      <c r="B66" s="14" t="s">
        <v>403</v>
      </c>
      <c r="C66" s="21">
        <f>data!C312</f>
        <v>23521.67</v>
      </c>
    </row>
    <row r="67" spans="1:3" ht="20.149999999999999" customHeight="1" x14ac:dyDescent="0.35">
      <c r="A67" s="13">
        <v>11</v>
      </c>
      <c r="B67" s="14" t="s">
        <v>1130</v>
      </c>
      <c r="C67" s="21">
        <f>data!C313</f>
        <v>4929517.8</v>
      </c>
    </row>
    <row r="68" spans="1:3" ht="20.149999999999999" customHeight="1" x14ac:dyDescent="0.35">
      <c r="A68" s="13">
        <v>12</v>
      </c>
      <c r="B68" s="14" t="s">
        <v>1131</v>
      </c>
      <c r="C68" s="21">
        <f>data!D314</f>
        <v>16995331.539999999</v>
      </c>
    </row>
    <row r="69" spans="1:3" ht="20.149999999999999" customHeight="1" x14ac:dyDescent="0.35">
      <c r="A69" s="13">
        <v>13</v>
      </c>
      <c r="B69" s="38"/>
      <c r="C69" s="24"/>
    </row>
    <row r="70" spans="1:3" ht="20.149999999999999" customHeight="1" x14ac:dyDescent="0.35">
      <c r="A70" s="13">
        <v>14</v>
      </c>
      <c r="B70" s="37" t="s">
        <v>1132</v>
      </c>
      <c r="C70" s="36"/>
    </row>
    <row r="71" spans="1:3" ht="20.149999999999999" customHeight="1" x14ac:dyDescent="0.35">
      <c r="A71" s="13">
        <v>15</v>
      </c>
      <c r="B71" s="14" t="s">
        <v>407</v>
      </c>
      <c r="C71" s="21">
        <f>data!C316</f>
        <v>0</v>
      </c>
    </row>
    <row r="72" spans="1:3" ht="20.149999999999999" customHeight="1" x14ac:dyDescent="0.35">
      <c r="A72" s="13">
        <v>16</v>
      </c>
      <c r="B72" s="14" t="s">
        <v>1133</v>
      </c>
      <c r="C72" s="21">
        <f>data!C317</f>
        <v>0</v>
      </c>
    </row>
    <row r="73" spans="1:3" ht="20.149999999999999" customHeight="1" x14ac:dyDescent="0.35">
      <c r="A73" s="13">
        <v>17</v>
      </c>
      <c r="B73" s="14" t="s">
        <v>409</v>
      </c>
      <c r="C73" s="21">
        <f>data!C318</f>
        <v>0</v>
      </c>
    </row>
    <row r="74" spans="1:3" ht="20.149999999999999" customHeight="1" x14ac:dyDescent="0.35">
      <c r="A74" s="13">
        <v>18</v>
      </c>
      <c r="B74" s="14" t="s">
        <v>1134</v>
      </c>
      <c r="C74" s="21">
        <f>data!D319</f>
        <v>0</v>
      </c>
    </row>
    <row r="75" spans="1:3" ht="20.149999999999999" customHeight="1" x14ac:dyDescent="0.35">
      <c r="A75" s="13">
        <v>19</v>
      </c>
      <c r="B75" s="38"/>
      <c r="C75" s="24"/>
    </row>
    <row r="76" spans="1:3" ht="20.149999999999999" customHeight="1" x14ac:dyDescent="0.35">
      <c r="A76" s="23">
        <v>20</v>
      </c>
      <c r="B76" s="37" t="s">
        <v>411</v>
      </c>
      <c r="C76" s="36"/>
    </row>
    <row r="77" spans="1:3" ht="20.149999999999999" customHeight="1" x14ac:dyDescent="0.35">
      <c r="A77" s="13">
        <v>21</v>
      </c>
      <c r="B77" s="14" t="s">
        <v>412</v>
      </c>
      <c r="C77" s="21">
        <f>data!C321</f>
        <v>0</v>
      </c>
    </row>
    <row r="78" spans="1:3" ht="20.149999999999999" customHeight="1" x14ac:dyDescent="0.35">
      <c r="A78" s="13">
        <v>22</v>
      </c>
      <c r="B78" s="14" t="s">
        <v>1135</v>
      </c>
      <c r="C78" s="21">
        <f>data!C322</f>
        <v>0</v>
      </c>
    </row>
    <row r="79" spans="1:3" ht="20.149999999999999" customHeight="1" x14ac:dyDescent="0.35">
      <c r="A79" s="13">
        <v>23</v>
      </c>
      <c r="B79" s="14" t="s">
        <v>414</v>
      </c>
      <c r="C79" s="21">
        <f>data!C323</f>
        <v>7987091.9900000002</v>
      </c>
    </row>
    <row r="80" spans="1:3" ht="20.149999999999999" customHeight="1" x14ac:dyDescent="0.35">
      <c r="A80" s="13">
        <v>24</v>
      </c>
      <c r="B80" s="14" t="s">
        <v>1136</v>
      </c>
      <c r="C80" s="21">
        <f>data!C324</f>
        <v>2690464.88</v>
      </c>
    </row>
    <row r="81" spans="1:3" ht="20.149999999999999" customHeight="1" x14ac:dyDescent="0.35">
      <c r="A81" s="13">
        <v>25</v>
      </c>
      <c r="B81" s="14" t="s">
        <v>416</v>
      </c>
      <c r="C81" s="21">
        <f>data!C325</f>
        <v>0</v>
      </c>
    </row>
    <row r="82" spans="1:3" ht="20.149999999999999" customHeight="1" x14ac:dyDescent="0.35">
      <c r="A82" s="13">
        <v>26</v>
      </c>
      <c r="B82" s="14" t="s">
        <v>1137</v>
      </c>
      <c r="C82" s="21">
        <f>data!C326</f>
        <v>0</v>
      </c>
    </row>
    <row r="83" spans="1:3" ht="20.149999999999999" customHeight="1" x14ac:dyDescent="0.35">
      <c r="A83" s="13">
        <v>27</v>
      </c>
      <c r="B83" s="14" t="s">
        <v>418</v>
      </c>
      <c r="C83" s="21">
        <f>data!C327</f>
        <v>0</v>
      </c>
    </row>
    <row r="84" spans="1:3" ht="20.149999999999999" customHeight="1" x14ac:dyDescent="0.35">
      <c r="A84" s="13">
        <v>28</v>
      </c>
      <c r="B84" s="14" t="s">
        <v>661</v>
      </c>
      <c r="C84" s="21">
        <f>data!D328</f>
        <v>10677556.870000001</v>
      </c>
    </row>
    <row r="85" spans="1:3" ht="20.149999999999999" customHeight="1" x14ac:dyDescent="0.35">
      <c r="A85" s="13">
        <v>29</v>
      </c>
      <c r="B85" s="14" t="s">
        <v>1138</v>
      </c>
      <c r="C85" s="21">
        <f>data!D329</f>
        <v>4929517.8</v>
      </c>
    </row>
    <row r="86" spans="1:3" ht="20.149999999999999" customHeight="1" x14ac:dyDescent="0.35">
      <c r="A86" s="13">
        <v>30</v>
      </c>
      <c r="B86" s="14" t="s">
        <v>1139</v>
      </c>
      <c r="C86" s="21">
        <f>data!D330</f>
        <v>5748039.0700000012</v>
      </c>
    </row>
    <row r="87" spans="1:3" ht="20.149999999999999" customHeight="1" x14ac:dyDescent="0.35">
      <c r="A87" s="13">
        <v>31</v>
      </c>
      <c r="B87" s="38"/>
      <c r="C87" s="24"/>
    </row>
    <row r="88" spans="1:3" ht="20.149999999999999" customHeight="1" x14ac:dyDescent="0.35">
      <c r="A88" s="13">
        <v>32</v>
      </c>
      <c r="B88" s="89" t="s">
        <v>1140</v>
      </c>
      <c r="C88" s="21">
        <f>data!C332</f>
        <v>11132705.130000001</v>
      </c>
    </row>
    <row r="89" spans="1:3" ht="20.149999999999999" customHeight="1" x14ac:dyDescent="0.35">
      <c r="A89" s="13">
        <v>33</v>
      </c>
      <c r="B89" s="24"/>
      <c r="C89" s="24"/>
    </row>
    <row r="90" spans="1:3" ht="20.149999999999999" customHeight="1" x14ac:dyDescent="0.35">
      <c r="A90" s="13">
        <v>34</v>
      </c>
      <c r="B90" s="37" t="s">
        <v>1141</v>
      </c>
      <c r="C90" s="36"/>
    </row>
    <row r="91" spans="1:3" ht="20.149999999999999" customHeight="1" x14ac:dyDescent="0.35">
      <c r="A91" s="13">
        <v>35</v>
      </c>
      <c r="B91" s="14" t="s">
        <v>1142</v>
      </c>
      <c r="C91" s="21">
        <f>data!C334</f>
        <v>0</v>
      </c>
    </row>
    <row r="92" spans="1:3" ht="20.149999999999999" customHeight="1" x14ac:dyDescent="0.35">
      <c r="A92" s="13">
        <v>36</v>
      </c>
      <c r="B92" s="38"/>
      <c r="C92" s="24"/>
    </row>
    <row r="93" spans="1:3" ht="20.149999999999999" customHeight="1" x14ac:dyDescent="0.35">
      <c r="A93" s="13">
        <v>37</v>
      </c>
      <c r="B93" s="14" t="s">
        <v>1143</v>
      </c>
      <c r="C93" s="21">
        <f>data!C335</f>
        <v>0</v>
      </c>
    </row>
    <row r="94" spans="1:3" ht="20.149999999999999" customHeight="1" x14ac:dyDescent="0.35">
      <c r="A94" s="13">
        <v>38</v>
      </c>
      <c r="B94" s="38"/>
      <c r="C94" s="24"/>
    </row>
    <row r="95" spans="1:3" ht="20.149999999999999" customHeight="1" x14ac:dyDescent="0.35">
      <c r="A95" s="13">
        <v>39</v>
      </c>
      <c r="B95" s="14" t="s">
        <v>1144</v>
      </c>
      <c r="C95" s="21">
        <f>data!C336</f>
        <v>0</v>
      </c>
    </row>
    <row r="96" spans="1:3" ht="20.149999999999999" customHeight="1" x14ac:dyDescent="0.35">
      <c r="A96" s="13">
        <v>40</v>
      </c>
      <c r="B96" s="38"/>
      <c r="C96" s="24"/>
    </row>
    <row r="97" spans="1:3" ht="20.149999999999999" customHeight="1" x14ac:dyDescent="0.35">
      <c r="A97" s="13">
        <v>41</v>
      </c>
      <c r="B97" s="14" t="s">
        <v>1145</v>
      </c>
      <c r="C97" s="21">
        <f>data!C337</f>
        <v>0</v>
      </c>
    </row>
    <row r="98" spans="1:3" ht="20.149999999999999" customHeight="1" x14ac:dyDescent="0.35">
      <c r="A98" s="13">
        <v>42</v>
      </c>
      <c r="B98" s="14" t="s">
        <v>1146</v>
      </c>
      <c r="C98" s="24"/>
    </row>
    <row r="99" spans="1:3" ht="20.149999999999999" customHeight="1" x14ac:dyDescent="0.35">
      <c r="A99" s="13">
        <v>43</v>
      </c>
      <c r="B99" s="38"/>
      <c r="C99" s="24"/>
    </row>
    <row r="100" spans="1:3" ht="20.149999999999999" customHeight="1" x14ac:dyDescent="0.35">
      <c r="A100" s="13">
        <v>44</v>
      </c>
      <c r="B100" s="14" t="s">
        <v>1147</v>
      </c>
      <c r="C100" s="21">
        <f>data!C338</f>
        <v>0</v>
      </c>
    </row>
    <row r="101" spans="1:3" ht="20.149999999999999" customHeight="1" x14ac:dyDescent="0.35">
      <c r="A101" s="13">
        <v>45</v>
      </c>
      <c r="B101" s="14" t="s">
        <v>1148</v>
      </c>
      <c r="C101" s="21">
        <f>data!C332+data!C334+data!C335+data!C336+data!C337-data!C338</f>
        <v>11132705.130000001</v>
      </c>
    </row>
    <row r="102" spans="1:3" ht="20.149999999999999" customHeight="1" x14ac:dyDescent="0.35">
      <c r="A102" s="13">
        <v>46</v>
      </c>
      <c r="B102" s="14" t="s">
        <v>1149</v>
      </c>
      <c r="C102" s="21">
        <f>data!D339</f>
        <v>33876075.740000002</v>
      </c>
    </row>
    <row r="103" spans="1:3" ht="20.149999999999999" customHeight="1" x14ac:dyDescent="0.35"/>
    <row r="104" spans="1:3" ht="20.149999999999999" customHeight="1" x14ac:dyDescent="0.35"/>
    <row r="105" spans="1:3" ht="20.149999999999999" customHeight="1" x14ac:dyDescent="0.35">
      <c r="A105" s="4" t="s">
        <v>1150</v>
      </c>
      <c r="B105" s="5"/>
      <c r="C105" s="6"/>
    </row>
    <row r="106" spans="1:3" ht="20.149999999999999" customHeight="1" x14ac:dyDescent="0.35">
      <c r="A106" s="45"/>
      <c r="B106" s="8"/>
      <c r="C106" s="167" t="s">
        <v>1151</v>
      </c>
    </row>
    <row r="107" spans="1:3" ht="20.149999999999999" customHeight="1" x14ac:dyDescent="0.35">
      <c r="A107" s="29" t="str">
        <f>"HOSPITAL: "&amp;data!C84</f>
        <v>HOSPITAL: Mid Valley Hospital</v>
      </c>
      <c r="B107" s="30"/>
      <c r="C107" s="31" t="str">
        <f>" FYE: "&amp;data!C82</f>
        <v xml:space="preserve"> FYE: 12/31/2020</v>
      </c>
    </row>
    <row r="108" spans="1:3" ht="20.149999999999999" customHeight="1" x14ac:dyDescent="0.35">
      <c r="A108" s="32"/>
      <c r="B108" s="46"/>
      <c r="C108" s="47"/>
    </row>
    <row r="109" spans="1:3" ht="20.149999999999999" customHeight="1" x14ac:dyDescent="0.35">
      <c r="A109" s="13">
        <v>1</v>
      </c>
      <c r="B109" s="37" t="s">
        <v>1152</v>
      </c>
      <c r="C109" s="36"/>
    </row>
    <row r="110" spans="1:3" ht="20.149999999999999" customHeight="1" x14ac:dyDescent="0.35">
      <c r="A110" s="13">
        <v>2</v>
      </c>
      <c r="B110" s="14" t="s">
        <v>428</v>
      </c>
      <c r="C110" s="21">
        <f>data!C359</f>
        <v>12360455.99</v>
      </c>
    </row>
    <row r="111" spans="1:3" ht="20.149999999999999" customHeight="1" x14ac:dyDescent="0.35">
      <c r="A111" s="13">
        <v>3</v>
      </c>
      <c r="B111" s="14" t="s">
        <v>429</v>
      </c>
      <c r="C111" s="21">
        <f>data!C360</f>
        <v>61808680.25</v>
      </c>
    </row>
    <row r="112" spans="1:3" ht="20.149999999999999" customHeight="1" x14ac:dyDescent="0.35">
      <c r="A112" s="13">
        <v>4</v>
      </c>
      <c r="B112" s="14" t="s">
        <v>1153</v>
      </c>
      <c r="C112" s="21">
        <f>data!D361</f>
        <v>74169136.239999995</v>
      </c>
    </row>
    <row r="113" spans="1:3" ht="20.149999999999999" customHeight="1" x14ac:dyDescent="0.35">
      <c r="A113" s="13">
        <v>5</v>
      </c>
      <c r="B113" s="38"/>
      <c r="C113" s="24"/>
    </row>
    <row r="114" spans="1:3" ht="20.149999999999999" customHeight="1" x14ac:dyDescent="0.35">
      <c r="A114" s="13">
        <v>6</v>
      </c>
      <c r="B114" s="37" t="s">
        <v>1154</v>
      </c>
      <c r="C114" s="36"/>
    </row>
    <row r="115" spans="1:3" ht="20.149999999999999" customHeight="1" x14ac:dyDescent="0.35">
      <c r="A115" s="13">
        <v>7</v>
      </c>
      <c r="B115" s="273" t="s">
        <v>450</v>
      </c>
      <c r="C115" s="48">
        <f>data!C363</f>
        <v>1207974.28</v>
      </c>
    </row>
    <row r="116" spans="1:3" ht="20.149999999999999" customHeight="1" x14ac:dyDescent="0.35">
      <c r="A116" s="13">
        <v>8</v>
      </c>
      <c r="B116" s="14" t="s">
        <v>432</v>
      </c>
      <c r="C116" s="48">
        <f>data!C364</f>
        <v>36121847.020000003</v>
      </c>
    </row>
    <row r="117" spans="1:3" ht="20.149999999999999" customHeight="1" x14ac:dyDescent="0.35">
      <c r="A117" s="13">
        <v>9</v>
      </c>
      <c r="B117" s="14" t="s">
        <v>1155</v>
      </c>
      <c r="C117" s="48">
        <f>data!C365</f>
        <v>1274683.33</v>
      </c>
    </row>
    <row r="118" spans="1:3" ht="20.149999999999999" customHeight="1" x14ac:dyDescent="0.35">
      <c r="A118" s="13">
        <v>10</v>
      </c>
      <c r="B118" s="14" t="s">
        <v>1156</v>
      </c>
      <c r="C118" s="48">
        <f>data!C366</f>
        <v>1205857.73</v>
      </c>
    </row>
    <row r="119" spans="1:3" ht="20.149999999999999" customHeight="1" x14ac:dyDescent="0.35">
      <c r="A119" s="13">
        <v>11</v>
      </c>
      <c r="B119" s="14" t="s">
        <v>1099</v>
      </c>
      <c r="C119" s="48">
        <f>data!D367</f>
        <v>39810362.359999999</v>
      </c>
    </row>
    <row r="120" spans="1:3" ht="20.149999999999999" customHeight="1" x14ac:dyDescent="0.35">
      <c r="A120" s="13">
        <v>12</v>
      </c>
      <c r="B120" s="14" t="s">
        <v>1157</v>
      </c>
      <c r="C120" s="48">
        <f>data!D368</f>
        <v>34358773.879999995</v>
      </c>
    </row>
    <row r="121" spans="1:3" ht="20.149999999999999" customHeight="1" x14ac:dyDescent="0.35">
      <c r="A121" s="13">
        <v>13</v>
      </c>
      <c r="B121" s="38"/>
      <c r="C121" s="24"/>
    </row>
    <row r="122" spans="1:3" ht="20.149999999999999" customHeight="1" x14ac:dyDescent="0.35">
      <c r="A122" s="13">
        <v>14</v>
      </c>
      <c r="B122" s="37" t="s">
        <v>436</v>
      </c>
      <c r="C122" s="36"/>
    </row>
    <row r="123" spans="1:3" ht="20.149999999999999" customHeight="1" x14ac:dyDescent="0.35">
      <c r="A123" s="13">
        <v>15</v>
      </c>
      <c r="B123" s="14" t="s">
        <v>437</v>
      </c>
      <c r="C123" s="48">
        <f>data!C370</f>
        <v>964782.22</v>
      </c>
    </row>
    <row r="124" spans="1:3" ht="20.149999999999999" customHeight="1" x14ac:dyDescent="0.35">
      <c r="A124" s="13">
        <v>16</v>
      </c>
      <c r="B124" s="14" t="s">
        <v>438</v>
      </c>
      <c r="C124" s="48">
        <f>data!C371</f>
        <v>1069966.8899999999</v>
      </c>
    </row>
    <row r="125" spans="1:3" ht="20.149999999999999" customHeight="1" x14ac:dyDescent="0.35">
      <c r="A125" s="13">
        <v>17</v>
      </c>
      <c r="B125" s="14" t="s">
        <v>1158</v>
      </c>
      <c r="C125" s="48">
        <f>data!D372</f>
        <v>2034749.1099999999</v>
      </c>
    </row>
    <row r="126" spans="1:3" ht="20.149999999999999" customHeight="1" x14ac:dyDescent="0.35">
      <c r="A126" s="13">
        <v>18</v>
      </c>
      <c r="B126" s="14" t="s">
        <v>1159</v>
      </c>
      <c r="C126" s="48">
        <f>data!D373</f>
        <v>36393522.989999995</v>
      </c>
    </row>
    <row r="127" spans="1:3" ht="20.149999999999999" customHeight="1" x14ac:dyDescent="0.35">
      <c r="A127" s="13">
        <v>19</v>
      </c>
      <c r="B127" s="38"/>
      <c r="C127" s="24"/>
    </row>
    <row r="128" spans="1:3" ht="20.149999999999999" customHeight="1" x14ac:dyDescent="0.35">
      <c r="A128" s="13">
        <v>20</v>
      </c>
      <c r="B128" s="37" t="s">
        <v>1160</v>
      </c>
      <c r="C128" s="36"/>
    </row>
    <row r="129" spans="1:3" ht="20.149999999999999" customHeight="1" x14ac:dyDescent="0.35">
      <c r="A129" s="13">
        <v>21</v>
      </c>
      <c r="B129" s="14" t="s">
        <v>442</v>
      </c>
      <c r="C129" s="48">
        <f>data!C378</f>
        <v>16675860.27</v>
      </c>
    </row>
    <row r="130" spans="1:3" ht="20.149999999999999" customHeight="1" x14ac:dyDescent="0.35">
      <c r="A130" s="13">
        <v>22</v>
      </c>
      <c r="B130" s="14" t="s">
        <v>3</v>
      </c>
      <c r="C130" s="48">
        <f>data!C379</f>
        <v>3949921.4</v>
      </c>
    </row>
    <row r="131" spans="1:3" ht="20.149999999999999" customHeight="1" x14ac:dyDescent="0.35">
      <c r="A131" s="13">
        <v>23</v>
      </c>
      <c r="B131" s="14" t="s">
        <v>236</v>
      </c>
      <c r="C131" s="48">
        <f>data!C380</f>
        <v>4841609.66</v>
      </c>
    </row>
    <row r="132" spans="1:3" ht="20.149999999999999" customHeight="1" x14ac:dyDescent="0.35">
      <c r="A132" s="13">
        <v>24</v>
      </c>
      <c r="B132" s="14" t="s">
        <v>237</v>
      </c>
      <c r="C132" s="48">
        <f>data!C381</f>
        <v>4925909.8499999996</v>
      </c>
    </row>
    <row r="133" spans="1:3" ht="20.149999999999999" customHeight="1" x14ac:dyDescent="0.35">
      <c r="A133" s="13">
        <v>25</v>
      </c>
      <c r="B133" s="14" t="s">
        <v>1161</v>
      </c>
      <c r="C133" s="48">
        <f>data!C382</f>
        <v>454092.04</v>
      </c>
    </row>
    <row r="134" spans="1:3" ht="20.149999999999999" customHeight="1" x14ac:dyDescent="0.35">
      <c r="A134" s="13">
        <v>26</v>
      </c>
      <c r="B134" s="14" t="s">
        <v>1162</v>
      </c>
      <c r="C134" s="48">
        <f>data!C383</f>
        <v>2475830.4</v>
      </c>
    </row>
    <row r="135" spans="1:3" ht="20.149999999999999" customHeight="1" x14ac:dyDescent="0.35">
      <c r="A135" s="13">
        <v>27</v>
      </c>
      <c r="B135" s="14" t="s">
        <v>6</v>
      </c>
      <c r="C135" s="48">
        <f>data!C384</f>
        <v>2015874.61</v>
      </c>
    </row>
    <row r="136" spans="1:3" ht="20.149999999999999" customHeight="1" x14ac:dyDescent="0.35">
      <c r="A136" s="13">
        <v>28</v>
      </c>
      <c r="B136" s="14" t="s">
        <v>1163</v>
      </c>
      <c r="C136" s="48">
        <f>data!C385</f>
        <v>272473.89</v>
      </c>
    </row>
    <row r="137" spans="1:3" ht="20.149999999999999" customHeight="1" x14ac:dyDescent="0.35">
      <c r="A137" s="13">
        <v>29</v>
      </c>
      <c r="B137" s="14" t="s">
        <v>447</v>
      </c>
      <c r="C137" s="48">
        <f>data!C386</f>
        <v>521496.52</v>
      </c>
    </row>
    <row r="138" spans="1:3" ht="20.149999999999999" customHeight="1" x14ac:dyDescent="0.35">
      <c r="A138" s="13">
        <v>30</v>
      </c>
      <c r="B138" s="14" t="s">
        <v>1164</v>
      </c>
      <c r="C138" s="48">
        <f>data!C387</f>
        <v>213987.88</v>
      </c>
    </row>
    <row r="139" spans="1:3" ht="20.149999999999999" customHeight="1" x14ac:dyDescent="0.35">
      <c r="A139" s="13">
        <v>31</v>
      </c>
      <c r="B139" s="14" t="s">
        <v>449</v>
      </c>
      <c r="C139" s="48">
        <f>data!C388</f>
        <v>285796.57</v>
      </c>
    </row>
    <row r="140" spans="1:3" ht="20.149999999999999" customHeight="1" x14ac:dyDescent="0.35">
      <c r="A140" s="13">
        <v>32</v>
      </c>
      <c r="B140" s="14" t="s">
        <v>241</v>
      </c>
      <c r="C140" s="48">
        <f>data!C389</f>
        <v>262346.05000000005</v>
      </c>
    </row>
    <row r="141" spans="1:3" ht="20.149999999999999" customHeight="1" x14ac:dyDescent="0.35">
      <c r="A141" s="13">
        <v>34</v>
      </c>
      <c r="B141" s="14" t="s">
        <v>1165</v>
      </c>
      <c r="C141" s="48">
        <f>data!D390</f>
        <v>36895199.140000001</v>
      </c>
    </row>
    <row r="142" spans="1:3" ht="20.149999999999999" customHeight="1" x14ac:dyDescent="0.35">
      <c r="A142" s="13">
        <v>35</v>
      </c>
      <c r="B142" s="14" t="s">
        <v>1166</v>
      </c>
      <c r="C142" s="48">
        <f>data!D391</f>
        <v>-501676.15000000596</v>
      </c>
    </row>
    <row r="143" spans="1:3" ht="20.149999999999999" customHeight="1" x14ac:dyDescent="0.35">
      <c r="A143" s="13">
        <v>36</v>
      </c>
      <c r="B143" s="38"/>
      <c r="C143" s="24"/>
    </row>
    <row r="144" spans="1:3" ht="20.149999999999999" customHeight="1" x14ac:dyDescent="0.35">
      <c r="A144" s="13">
        <v>37</v>
      </c>
      <c r="B144" s="14" t="s">
        <v>1167</v>
      </c>
      <c r="C144" s="48">
        <f>data!C392</f>
        <v>934309.79</v>
      </c>
    </row>
    <row r="145" spans="1:3" ht="20.149999999999999" customHeight="1" x14ac:dyDescent="0.35">
      <c r="A145" s="13">
        <v>38</v>
      </c>
      <c r="B145" s="38"/>
      <c r="C145" s="24"/>
    </row>
    <row r="146" spans="1:3" ht="20.149999999999999" customHeight="1" x14ac:dyDescent="0.35">
      <c r="A146" s="13">
        <v>39</v>
      </c>
      <c r="B146" s="14" t="s">
        <v>1168</v>
      </c>
      <c r="C146" s="21">
        <f>data!D393</f>
        <v>432633.63999999408</v>
      </c>
    </row>
    <row r="147" spans="1:3" ht="20.149999999999999" customHeight="1" x14ac:dyDescent="0.35">
      <c r="A147" s="13">
        <v>40</v>
      </c>
      <c r="B147" s="38"/>
      <c r="C147" s="24"/>
    </row>
    <row r="148" spans="1:3" ht="20.149999999999999" customHeight="1" x14ac:dyDescent="0.35">
      <c r="A148" s="13">
        <v>41</v>
      </c>
      <c r="B148" s="14" t="s">
        <v>1169</v>
      </c>
      <c r="C148" s="48">
        <f>data!C394</f>
        <v>0</v>
      </c>
    </row>
    <row r="149" spans="1:3" ht="20.149999999999999" customHeight="1" x14ac:dyDescent="0.35">
      <c r="A149" s="13">
        <v>42</v>
      </c>
      <c r="B149" s="14" t="s">
        <v>1170</v>
      </c>
      <c r="C149" s="48">
        <f>data!C395</f>
        <v>0</v>
      </c>
    </row>
    <row r="150" spans="1:3" ht="20.149999999999999" customHeight="1" x14ac:dyDescent="0.35">
      <c r="A150" s="13">
        <v>43</v>
      </c>
      <c r="B150" s="38"/>
      <c r="C150" s="24"/>
    </row>
    <row r="151" spans="1:3" ht="20.149999999999999" customHeight="1" x14ac:dyDescent="0.35">
      <c r="A151" s="13">
        <v>44</v>
      </c>
      <c r="B151" s="14" t="s">
        <v>1171</v>
      </c>
      <c r="C151" s="48">
        <f>data!D396</f>
        <v>432633.63999999408</v>
      </c>
    </row>
    <row r="152" spans="1:3" ht="20.149999999999999" customHeight="1" x14ac:dyDescent="0.35">
      <c r="A152" s="40">
        <v>45</v>
      </c>
      <c r="B152" s="49" t="s">
        <v>1172</v>
      </c>
      <c r="C152" s="24"/>
    </row>
    <row r="153" spans="1:3" ht="20.149999999999999" customHeight="1" x14ac:dyDescent="0.3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384"/>
  <sheetViews>
    <sheetView showGridLines="0" topLeftCell="A34" zoomScale="65" workbookViewId="0">
      <selection activeCell="A386" sqref="A386"/>
    </sheetView>
  </sheetViews>
  <sheetFormatPr defaultColWidth="8.875" defaultRowHeight="20.149999999999999" customHeight="1" x14ac:dyDescent="0.35"/>
  <cols>
    <col min="1" max="1" width="5.75" style="78" customWidth="1"/>
    <col min="2" max="2" width="22.4375" style="78" customWidth="1"/>
    <col min="3" max="8" width="13.75" style="78" customWidth="1"/>
    <col min="9" max="9" width="15.75" style="78" customWidth="1"/>
    <col min="10" max="16384" width="8.875" style="78"/>
  </cols>
  <sheetData>
    <row r="1" spans="1:13" ht="20.149999999999999" customHeight="1" x14ac:dyDescent="0.3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49999999999999" customHeight="1" x14ac:dyDescent="0.3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49999999999999" customHeight="1" x14ac:dyDescent="0.35">
      <c r="A3" s="45"/>
      <c r="B3" s="77"/>
      <c r="C3" s="77"/>
      <c r="D3" s="77"/>
      <c r="E3" s="77"/>
      <c r="F3" s="77"/>
      <c r="G3" s="77"/>
      <c r="H3" s="77"/>
      <c r="I3" s="45"/>
    </row>
    <row r="4" spans="1:13" ht="20.149999999999999" customHeight="1" x14ac:dyDescent="0.35">
      <c r="A4" s="79" t="str">
        <f>"HOSPITAL NAME: "&amp;data!C84</f>
        <v>HOSPITAL NAME: Mid Valley Hospital</v>
      </c>
      <c r="B4" s="77"/>
      <c r="C4" s="77"/>
      <c r="D4" s="77"/>
      <c r="E4" s="77"/>
      <c r="F4" s="77"/>
      <c r="G4" s="80"/>
      <c r="H4" s="79" t="str">
        <f>"FYE: "&amp;data!C82</f>
        <v>FYE: 12/31/2020</v>
      </c>
    </row>
    <row r="5" spans="1:13" ht="20.149999999999999" customHeight="1" x14ac:dyDescent="0.3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49999999999999" customHeight="1" x14ac:dyDescent="0.3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49999999999999" customHeight="1" x14ac:dyDescent="0.3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49999999999999" customHeight="1" x14ac:dyDescent="0.3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49999999999999" customHeight="1" x14ac:dyDescent="0.3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1734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49999999999999" customHeight="1" x14ac:dyDescent="0.3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25.62</v>
      </c>
      <c r="F10" s="26">
        <f>data!F60</f>
        <v>2.17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49999999999999" customHeight="1" x14ac:dyDescent="0.3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2040674.65</v>
      </c>
      <c r="F11" s="14">
        <f>data!F61</f>
        <v>226936.84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49999999999999" customHeight="1" x14ac:dyDescent="0.3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484931</v>
      </c>
      <c r="F12" s="14">
        <f>data!F62</f>
        <v>29407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49999999999999" customHeight="1" x14ac:dyDescent="0.3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101349.07</v>
      </c>
      <c r="F13" s="14">
        <f>data!F63</f>
        <v>75600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49999999999999" customHeight="1" x14ac:dyDescent="0.3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124125.39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49999999999999" customHeight="1" x14ac:dyDescent="0.3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49999999999999" customHeight="1" x14ac:dyDescent="0.3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113907.01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49999999999999" customHeight="1" x14ac:dyDescent="0.3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109301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49999999999999" customHeight="1" x14ac:dyDescent="0.3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29832.21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49999999999999" customHeight="1" x14ac:dyDescent="0.3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3052.36</v>
      </c>
      <c r="F19" s="14">
        <f>data!F69</f>
        <v>3600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49999999999999" customHeight="1" x14ac:dyDescent="0.3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49999999999999" customHeight="1" x14ac:dyDescent="0.3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3007172.6899999995</v>
      </c>
      <c r="F21" s="14">
        <f>data!F71</f>
        <v>335543.83999999997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49999999999999" customHeight="1" x14ac:dyDescent="0.3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49999999999999" customHeight="1" x14ac:dyDescent="0.3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1406288</v>
      </c>
      <c r="F23" s="48">
        <f>+data!M671</f>
        <v>60937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49999999999999" customHeight="1" x14ac:dyDescent="0.3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2195153.64</v>
      </c>
      <c r="F24" s="14">
        <f>data!F73</f>
        <v>394522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49999999999999" customHeight="1" x14ac:dyDescent="0.3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936027.26</v>
      </c>
      <c r="F25" s="14">
        <f>data!F74</f>
        <v>390472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3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3131180.9000000004</v>
      </c>
      <c r="F26" s="14">
        <f>data!F75</f>
        <v>784994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49999999999999" customHeight="1" x14ac:dyDescent="0.3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49999999999999" customHeight="1" x14ac:dyDescent="0.3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6401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49999999999999" customHeight="1" x14ac:dyDescent="0.3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6198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49999999999999" customHeight="1" x14ac:dyDescent="0.3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4930.25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49999999999999" customHeight="1" x14ac:dyDescent="0.3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89694.8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49999999999999" customHeight="1" x14ac:dyDescent="0.3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14.43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49999999999999" customHeight="1" x14ac:dyDescent="0.3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49999999999999" customHeight="1" x14ac:dyDescent="0.3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49999999999999" customHeight="1" x14ac:dyDescent="0.3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49999999999999" customHeight="1" x14ac:dyDescent="0.35">
      <c r="A36" s="79" t="str">
        <f>"HOSPITAL NAME: "&amp;data!C84</f>
        <v>HOSPITAL NAME: Mid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12/31/2020</v>
      </c>
    </row>
    <row r="37" spans="1:9" ht="20.149999999999999" customHeight="1" x14ac:dyDescent="0.3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49999999999999" customHeight="1" x14ac:dyDescent="0.3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49999999999999" customHeight="1" x14ac:dyDescent="0.3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49999999999999" customHeight="1" x14ac:dyDescent="0.3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49999999999999" customHeight="1" x14ac:dyDescent="0.35">
      <c r="A41" s="23">
        <v>4</v>
      </c>
      <c r="B41" s="14" t="s">
        <v>233</v>
      </c>
      <c r="C41" s="14">
        <f>data!J59</f>
        <v>377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266</v>
      </c>
      <c r="I41" s="14">
        <f>data!P59</f>
        <v>105339</v>
      </c>
    </row>
    <row r="42" spans="1:9" ht="20.149999999999999" customHeight="1" x14ac:dyDescent="0.3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6.99</v>
      </c>
      <c r="I42" s="26">
        <f>data!P60</f>
        <v>10.93</v>
      </c>
    </row>
    <row r="43" spans="1:9" ht="20.149999999999999" customHeight="1" x14ac:dyDescent="0.3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655451.92000000004</v>
      </c>
      <c r="I43" s="14">
        <f>data!P61</f>
        <v>791921.59</v>
      </c>
    </row>
    <row r="44" spans="1:9" ht="20.149999999999999" customHeight="1" x14ac:dyDescent="0.3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151567</v>
      </c>
      <c r="I44" s="14">
        <f>data!P62</f>
        <v>197341</v>
      </c>
    </row>
    <row r="45" spans="1:9" ht="20.149999999999999" customHeight="1" x14ac:dyDescent="0.3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246174.06</v>
      </c>
      <c r="I45" s="14">
        <f>data!P63</f>
        <v>0</v>
      </c>
    </row>
    <row r="46" spans="1:9" ht="20.149999999999999" customHeight="1" x14ac:dyDescent="0.3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78545.73</v>
      </c>
      <c r="I46" s="14">
        <f>data!P64</f>
        <v>933870.52</v>
      </c>
    </row>
    <row r="47" spans="1:9" ht="20.149999999999999" customHeight="1" x14ac:dyDescent="0.3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49999999999999" customHeight="1" x14ac:dyDescent="0.3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29090.959999999999</v>
      </c>
      <c r="I48" s="14">
        <f>data!P66</f>
        <v>117238.93</v>
      </c>
    </row>
    <row r="49" spans="1:9" ht="20.149999999999999" customHeight="1" x14ac:dyDescent="0.35">
      <c r="A49" s="23">
        <v>12</v>
      </c>
      <c r="B49" s="14" t="s">
        <v>6</v>
      </c>
      <c r="C49" s="14">
        <f>data!J67</f>
        <v>2204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33232</v>
      </c>
      <c r="I49" s="14">
        <f>data!P67</f>
        <v>326117</v>
      </c>
    </row>
    <row r="50" spans="1:9" ht="20.149999999999999" customHeight="1" x14ac:dyDescent="0.3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6946.8</v>
      </c>
      <c r="I50" s="14">
        <f>data!P68</f>
        <v>5187.2700000000004</v>
      </c>
    </row>
    <row r="51" spans="1:9" ht="20.149999999999999" customHeight="1" x14ac:dyDescent="0.3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3755.57</v>
      </c>
      <c r="I51" s="14">
        <f>data!P69</f>
        <v>15707.53</v>
      </c>
    </row>
    <row r="52" spans="1:9" ht="20.149999999999999" customHeight="1" x14ac:dyDescent="0.3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49999999999999" customHeight="1" x14ac:dyDescent="0.35">
      <c r="A53" s="23">
        <v>16</v>
      </c>
      <c r="B53" s="48" t="s">
        <v>1180</v>
      </c>
      <c r="C53" s="14">
        <f>data!J71</f>
        <v>2204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1204764.04</v>
      </c>
      <c r="I53" s="14">
        <f>data!P71</f>
        <v>2387383.84</v>
      </c>
    </row>
    <row r="54" spans="1:9" ht="20.149999999999999" customHeight="1" x14ac:dyDescent="0.3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49999999999999" customHeight="1" x14ac:dyDescent="0.35">
      <c r="A55" s="23">
        <v>18</v>
      </c>
      <c r="B55" s="14" t="s">
        <v>1181</v>
      </c>
      <c r="C55" s="48">
        <f>+data!M675</f>
        <v>21991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469998</v>
      </c>
      <c r="I55" s="48">
        <f>+data!M681</f>
        <v>722131</v>
      </c>
    </row>
    <row r="56" spans="1:9" ht="20.149999999999999" customHeight="1" x14ac:dyDescent="0.35">
      <c r="A56" s="23">
        <v>19</v>
      </c>
      <c r="B56" s="48" t="s">
        <v>1182</v>
      </c>
      <c r="C56" s="14">
        <f>data!J73</f>
        <v>420774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1460870.4</v>
      </c>
      <c r="I56" s="14">
        <f>data!P73</f>
        <v>1384104.21</v>
      </c>
    </row>
    <row r="57" spans="1:9" ht="20.149999999999999" customHeight="1" x14ac:dyDescent="0.35">
      <c r="A57" s="23">
        <v>20</v>
      </c>
      <c r="B57" s="48" t="s">
        <v>1183</v>
      </c>
      <c r="C57" s="14">
        <f>data!J74</f>
        <v>1288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169333.06</v>
      </c>
      <c r="I57" s="14">
        <f>data!P74</f>
        <v>4868742.78</v>
      </c>
    </row>
    <row r="58" spans="1:9" ht="20.149999999999999" customHeight="1" x14ac:dyDescent="0.35">
      <c r="A58" s="23">
        <v>21</v>
      </c>
      <c r="B58" s="48" t="s">
        <v>1184</v>
      </c>
      <c r="C58" s="14">
        <f>data!J75</f>
        <v>422062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1630203.46</v>
      </c>
      <c r="I58" s="14">
        <f>data!P75</f>
        <v>6252846.9900000002</v>
      </c>
    </row>
    <row r="59" spans="1:9" ht="20.149999999999999" customHeight="1" x14ac:dyDescent="0.3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49999999999999" customHeight="1" x14ac:dyDescent="0.35">
      <c r="A60" s="23">
        <v>22</v>
      </c>
      <c r="B60" s="14" t="s">
        <v>1186</v>
      </c>
      <c r="C60" s="14">
        <f>data!J76</f>
        <v>142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1764</v>
      </c>
      <c r="I60" s="14">
        <f>data!P76</f>
        <v>4135</v>
      </c>
    </row>
    <row r="61" spans="1:9" ht="20.149999999999999" customHeight="1" x14ac:dyDescent="0.3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2066</v>
      </c>
      <c r="I61" s="14">
        <f>data!P77</f>
        <v>0</v>
      </c>
    </row>
    <row r="62" spans="1:9" ht="20.149999999999999" customHeight="1" x14ac:dyDescent="0.3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1274.6400000000001</v>
      </c>
      <c r="I62" s="14">
        <f>data!P78</f>
        <v>1371</v>
      </c>
    </row>
    <row r="63" spans="1:9" ht="20.149999999999999" customHeight="1" x14ac:dyDescent="0.3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9201.67</v>
      </c>
      <c r="I63" s="14">
        <f>data!P79</f>
        <v>49912.62</v>
      </c>
    </row>
    <row r="64" spans="1:9" ht="20.149999999999999" customHeight="1" x14ac:dyDescent="0.3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6.18</v>
      </c>
      <c r="I64" s="26">
        <f>data!P80</f>
        <v>3.15</v>
      </c>
    </row>
    <row r="65" spans="1:9" ht="20.149999999999999" customHeight="1" x14ac:dyDescent="0.3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49999999999999" customHeight="1" x14ac:dyDescent="0.3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49999999999999" customHeight="1" x14ac:dyDescent="0.35">
      <c r="A67" s="45"/>
      <c r="B67" s="77"/>
      <c r="C67" s="77"/>
      <c r="D67" s="77"/>
      <c r="E67" s="77"/>
      <c r="F67" s="77"/>
      <c r="G67" s="77"/>
      <c r="H67" s="77"/>
    </row>
    <row r="68" spans="1:9" ht="20.149999999999999" customHeight="1" x14ac:dyDescent="0.35">
      <c r="A68" s="79" t="str">
        <f>"HOSPITAL NAME: "&amp;data!C84</f>
        <v>HOSPITAL NAME: Mid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12/31/2020</v>
      </c>
    </row>
    <row r="69" spans="1:9" ht="20.149999999999999" customHeight="1" x14ac:dyDescent="0.3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49999999999999" customHeight="1" x14ac:dyDescent="0.3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49999999999999" customHeight="1" x14ac:dyDescent="0.3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49999999999999" customHeight="1" x14ac:dyDescent="0.3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49999999999999" customHeight="1" x14ac:dyDescent="0.35">
      <c r="A73" s="23">
        <v>4</v>
      </c>
      <c r="B73" s="14" t="s">
        <v>233</v>
      </c>
      <c r="C73" s="14">
        <f>data!Q59</f>
        <v>118412</v>
      </c>
      <c r="D73" s="48">
        <f>data!R59</f>
        <v>117096</v>
      </c>
      <c r="E73" s="212"/>
      <c r="F73" s="212"/>
      <c r="G73" s="14">
        <f>data!U59</f>
        <v>78116</v>
      </c>
      <c r="H73" s="14">
        <f>data!V59</f>
        <v>2196</v>
      </c>
      <c r="I73" s="14">
        <f>data!W59</f>
        <v>0</v>
      </c>
    </row>
    <row r="74" spans="1:9" ht="20.149999999999999" customHeight="1" x14ac:dyDescent="0.35">
      <c r="A74" s="23">
        <v>5</v>
      </c>
      <c r="B74" s="14" t="s">
        <v>234</v>
      </c>
      <c r="C74" s="26">
        <f>data!Q60</f>
        <v>5.93</v>
      </c>
      <c r="D74" s="26">
        <f>data!R60</f>
        <v>0</v>
      </c>
      <c r="E74" s="26">
        <f>data!S60</f>
        <v>2.04</v>
      </c>
      <c r="F74" s="26">
        <f>data!T60</f>
        <v>0</v>
      </c>
      <c r="G74" s="26">
        <f>data!U60</f>
        <v>8.82</v>
      </c>
      <c r="H74" s="26">
        <f>data!V60</f>
        <v>0</v>
      </c>
      <c r="I74" s="26">
        <f>data!W60</f>
        <v>0</v>
      </c>
    </row>
    <row r="75" spans="1:9" ht="20.149999999999999" customHeight="1" x14ac:dyDescent="0.35">
      <c r="A75" s="23">
        <v>6</v>
      </c>
      <c r="B75" s="14" t="s">
        <v>235</v>
      </c>
      <c r="C75" s="14">
        <f>data!Q61</f>
        <v>529514.81999999995</v>
      </c>
      <c r="D75" s="14">
        <f>data!R61</f>
        <v>0</v>
      </c>
      <c r="E75" s="14">
        <f>data!S61</f>
        <v>53682.93</v>
      </c>
      <c r="F75" s="14">
        <f>data!T61</f>
        <v>0</v>
      </c>
      <c r="G75" s="14">
        <f>data!U61</f>
        <v>567128.80000000005</v>
      </c>
      <c r="H75" s="14">
        <f>data!V61</f>
        <v>0</v>
      </c>
      <c r="I75" s="14">
        <f>data!W61</f>
        <v>0</v>
      </c>
    </row>
    <row r="76" spans="1:9" ht="20.149999999999999" customHeight="1" x14ac:dyDescent="0.35">
      <c r="A76" s="23">
        <v>7</v>
      </c>
      <c r="B76" s="14" t="s">
        <v>3</v>
      </c>
      <c r="C76" s="14">
        <f>data!Q62</f>
        <v>121538</v>
      </c>
      <c r="D76" s="14">
        <f>data!R62</f>
        <v>0</v>
      </c>
      <c r="E76" s="14">
        <f>data!S62</f>
        <v>28813</v>
      </c>
      <c r="F76" s="14">
        <f>data!T62</f>
        <v>0</v>
      </c>
      <c r="G76" s="14">
        <f>data!U62</f>
        <v>149379</v>
      </c>
      <c r="H76" s="14">
        <f>data!V62</f>
        <v>0</v>
      </c>
      <c r="I76" s="14">
        <f>data!W62</f>
        <v>0</v>
      </c>
    </row>
    <row r="77" spans="1:9" ht="20.149999999999999" customHeight="1" x14ac:dyDescent="0.35">
      <c r="A77" s="23">
        <v>8</v>
      </c>
      <c r="B77" s="14" t="s">
        <v>236</v>
      </c>
      <c r="C77" s="14">
        <f>data!Q63</f>
        <v>0</v>
      </c>
      <c r="D77" s="14">
        <f>data!R63</f>
        <v>865100.77</v>
      </c>
      <c r="E77" s="14">
        <f>data!S63</f>
        <v>0</v>
      </c>
      <c r="F77" s="14">
        <f>data!T63</f>
        <v>0</v>
      </c>
      <c r="G77" s="14">
        <f>data!U63</f>
        <v>87272.6</v>
      </c>
      <c r="H77" s="14">
        <f>data!V63</f>
        <v>0</v>
      </c>
      <c r="I77" s="14">
        <f>data!W63</f>
        <v>0</v>
      </c>
    </row>
    <row r="78" spans="1:9" ht="20.149999999999999" customHeight="1" x14ac:dyDescent="0.35">
      <c r="A78" s="23">
        <v>9</v>
      </c>
      <c r="B78" s="14" t="s">
        <v>237</v>
      </c>
      <c r="C78" s="14">
        <f>data!Q64</f>
        <v>25800.57</v>
      </c>
      <c r="D78" s="14">
        <f>data!R64</f>
        <v>8850.7800000000007</v>
      </c>
      <c r="E78" s="14">
        <f>data!S64</f>
        <v>1208105.9099999999</v>
      </c>
      <c r="F78" s="14">
        <f>data!T64</f>
        <v>0</v>
      </c>
      <c r="G78" s="14">
        <f>data!U64</f>
        <v>767531.98</v>
      </c>
      <c r="H78" s="14">
        <f>data!V64</f>
        <v>0</v>
      </c>
      <c r="I78" s="14">
        <f>data!W64</f>
        <v>0</v>
      </c>
    </row>
    <row r="79" spans="1:9" ht="20.149999999999999" customHeight="1" x14ac:dyDescent="0.3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49999999999999" customHeight="1" x14ac:dyDescent="0.35">
      <c r="A80" s="23">
        <v>11</v>
      </c>
      <c r="B80" s="14" t="s">
        <v>445</v>
      </c>
      <c r="C80" s="14">
        <f>data!Q66</f>
        <v>2315.37</v>
      </c>
      <c r="D80" s="14">
        <f>data!R66</f>
        <v>16172.69</v>
      </c>
      <c r="E80" s="14">
        <f>data!S66</f>
        <v>2875.96</v>
      </c>
      <c r="F80" s="14">
        <f>data!T66</f>
        <v>0</v>
      </c>
      <c r="G80" s="14">
        <f>data!U66</f>
        <v>151951.89000000001</v>
      </c>
      <c r="H80" s="14">
        <f>data!V66</f>
        <v>0</v>
      </c>
      <c r="I80" s="14">
        <f>data!W66</f>
        <v>0</v>
      </c>
    </row>
    <row r="81" spans="1:9" ht="20.149999999999999" customHeight="1" x14ac:dyDescent="0.35">
      <c r="A81" s="23">
        <v>12</v>
      </c>
      <c r="B81" s="14" t="s">
        <v>6</v>
      </c>
      <c r="C81" s="14">
        <f>data!Q67</f>
        <v>27188</v>
      </c>
      <c r="D81" s="14">
        <f>data!R67</f>
        <v>0</v>
      </c>
      <c r="E81" s="14">
        <f>data!S67</f>
        <v>18397</v>
      </c>
      <c r="F81" s="14">
        <f>data!T67</f>
        <v>0</v>
      </c>
      <c r="G81" s="14">
        <f>data!U67</f>
        <v>43215</v>
      </c>
      <c r="H81" s="14">
        <f>data!V67</f>
        <v>0</v>
      </c>
      <c r="I81" s="14">
        <f>data!W67</f>
        <v>0</v>
      </c>
    </row>
    <row r="82" spans="1:9" ht="20.149999999999999" customHeight="1" x14ac:dyDescent="0.35">
      <c r="A82" s="23">
        <v>13</v>
      </c>
      <c r="B82" s="14" t="s">
        <v>474</v>
      </c>
      <c r="C82" s="14">
        <f>data!Q68</f>
        <v>5109.78</v>
      </c>
      <c r="D82" s="14">
        <f>data!R68</f>
        <v>12286.89</v>
      </c>
      <c r="E82" s="14">
        <f>data!S68</f>
        <v>0</v>
      </c>
      <c r="F82" s="14">
        <f>data!T68</f>
        <v>0</v>
      </c>
      <c r="G82" s="14">
        <f>data!U68</f>
        <v>38059.81</v>
      </c>
      <c r="H82" s="14">
        <f>data!V68</f>
        <v>0</v>
      </c>
      <c r="I82" s="14">
        <f>data!W68</f>
        <v>0</v>
      </c>
    </row>
    <row r="83" spans="1:9" ht="20.149999999999999" customHeight="1" x14ac:dyDescent="0.35">
      <c r="A83" s="23">
        <v>14</v>
      </c>
      <c r="B83" s="14" t="s">
        <v>241</v>
      </c>
      <c r="C83" s="14">
        <f>data!Q69</f>
        <v>38.6</v>
      </c>
      <c r="D83" s="14">
        <f>data!R69</f>
        <v>0</v>
      </c>
      <c r="E83" s="14">
        <f>data!S69</f>
        <v>9742.25</v>
      </c>
      <c r="F83" s="14">
        <f>data!T69</f>
        <v>0</v>
      </c>
      <c r="G83" s="14">
        <f>data!U69</f>
        <v>29144.66</v>
      </c>
      <c r="H83" s="14">
        <f>data!V69</f>
        <v>0</v>
      </c>
      <c r="I83" s="14">
        <f>data!W69</f>
        <v>0</v>
      </c>
    </row>
    <row r="84" spans="1:9" ht="20.149999999999999" customHeight="1" x14ac:dyDescent="0.3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-8033.88</v>
      </c>
      <c r="F84" s="14">
        <f>-data!T70</f>
        <v>0</v>
      </c>
      <c r="G84" s="14">
        <f>-data!U70</f>
        <v>-6650</v>
      </c>
      <c r="H84" s="14">
        <f>-data!V70</f>
        <v>0</v>
      </c>
      <c r="I84" s="14">
        <f>-data!W70</f>
        <v>0</v>
      </c>
    </row>
    <row r="85" spans="1:9" ht="20.149999999999999" customHeight="1" x14ac:dyDescent="0.35">
      <c r="A85" s="23">
        <v>16</v>
      </c>
      <c r="B85" s="48" t="s">
        <v>1180</v>
      </c>
      <c r="C85" s="14">
        <f>data!Q71</f>
        <v>711505.1399999999</v>
      </c>
      <c r="D85" s="14">
        <f>data!R71</f>
        <v>902411.13</v>
      </c>
      <c r="E85" s="14">
        <f>data!S71</f>
        <v>1313583.17</v>
      </c>
      <c r="F85" s="14">
        <f>data!T71</f>
        <v>0</v>
      </c>
      <c r="G85" s="14">
        <f>data!U71</f>
        <v>1827033.74</v>
      </c>
      <c r="H85" s="14">
        <f>data!V71</f>
        <v>0</v>
      </c>
      <c r="I85" s="14">
        <f>data!W71</f>
        <v>0</v>
      </c>
    </row>
    <row r="86" spans="1:9" ht="20.149999999999999" customHeight="1" x14ac:dyDescent="0.3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49999999999999" customHeight="1" x14ac:dyDescent="0.35">
      <c r="A87" s="23">
        <v>18</v>
      </c>
      <c r="B87" s="14" t="s">
        <v>1181</v>
      </c>
      <c r="C87" s="48">
        <f>+data!M682</f>
        <v>257030</v>
      </c>
      <c r="D87" s="48">
        <f>+data!M683</f>
        <v>155614</v>
      </c>
      <c r="E87" s="48">
        <f>+data!M684</f>
        <v>430108</v>
      </c>
      <c r="F87" s="48">
        <f>+data!M685</f>
        <v>0</v>
      </c>
      <c r="G87" s="48">
        <f>+data!M686</f>
        <v>502040</v>
      </c>
      <c r="H87" s="48">
        <f>+data!M687</f>
        <v>0</v>
      </c>
      <c r="I87" s="48">
        <f>+data!M688</f>
        <v>0</v>
      </c>
    </row>
    <row r="88" spans="1:9" ht="20.149999999999999" customHeight="1" x14ac:dyDescent="0.35">
      <c r="A88" s="23">
        <v>19</v>
      </c>
      <c r="B88" s="48" t="s">
        <v>1182</v>
      </c>
      <c r="C88" s="14">
        <f>data!Q73</f>
        <v>256558</v>
      </c>
      <c r="D88" s="14">
        <f>data!R73</f>
        <v>541085.54</v>
      </c>
      <c r="E88" s="14">
        <f>data!S73</f>
        <v>1466647.13</v>
      </c>
      <c r="F88" s="14">
        <f>data!T73</f>
        <v>0</v>
      </c>
      <c r="G88" s="14">
        <f>data!U73</f>
        <v>1053357.8</v>
      </c>
      <c r="H88" s="14">
        <f>data!V73</f>
        <v>0</v>
      </c>
      <c r="I88" s="14">
        <f>data!W73</f>
        <v>0</v>
      </c>
    </row>
    <row r="89" spans="1:9" ht="20.149999999999999" customHeight="1" x14ac:dyDescent="0.35">
      <c r="A89" s="23">
        <v>20</v>
      </c>
      <c r="B89" s="48" t="s">
        <v>1183</v>
      </c>
      <c r="C89" s="14">
        <f>data!Q74</f>
        <v>1691584.78</v>
      </c>
      <c r="D89" s="14">
        <f>data!R74</f>
        <v>1846120.01</v>
      </c>
      <c r="E89" s="14">
        <f>data!S74</f>
        <v>4330058.4800000004</v>
      </c>
      <c r="F89" s="14">
        <f>data!T74</f>
        <v>0</v>
      </c>
      <c r="G89" s="14">
        <f>data!U74</f>
        <v>5627594.4699999997</v>
      </c>
      <c r="H89" s="14">
        <f>data!V74</f>
        <v>0</v>
      </c>
      <c r="I89" s="14">
        <f>data!W74</f>
        <v>0</v>
      </c>
    </row>
    <row r="90" spans="1:9" ht="20.149999999999999" customHeight="1" x14ac:dyDescent="0.35">
      <c r="A90" s="23">
        <v>21</v>
      </c>
      <c r="B90" s="48" t="s">
        <v>1184</v>
      </c>
      <c r="C90" s="14">
        <f>data!Q75</f>
        <v>1948142.78</v>
      </c>
      <c r="D90" s="14">
        <f>data!R75</f>
        <v>2387205.5499999998</v>
      </c>
      <c r="E90" s="14">
        <f>data!S75</f>
        <v>5796705.6100000003</v>
      </c>
      <c r="F90" s="14">
        <f>data!T75</f>
        <v>0</v>
      </c>
      <c r="G90" s="14">
        <f>data!U75</f>
        <v>6680952.2699999996</v>
      </c>
      <c r="H90" s="14">
        <f>data!V75</f>
        <v>0</v>
      </c>
      <c r="I90" s="14">
        <f>data!W75</f>
        <v>0</v>
      </c>
    </row>
    <row r="91" spans="1:9" ht="20.149999999999999" customHeight="1" x14ac:dyDescent="0.3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49999999999999" customHeight="1" x14ac:dyDescent="0.35">
      <c r="A92" s="23">
        <v>22</v>
      </c>
      <c r="B92" s="14" t="s">
        <v>1186</v>
      </c>
      <c r="C92" s="14">
        <f>data!Q76</f>
        <v>1211</v>
      </c>
      <c r="D92" s="14">
        <f>data!R76</f>
        <v>0</v>
      </c>
      <c r="E92" s="14">
        <f>data!S76</f>
        <v>1628</v>
      </c>
      <c r="F92" s="14">
        <f>data!T76</f>
        <v>0</v>
      </c>
      <c r="G92" s="14">
        <f>data!U76</f>
        <v>1213</v>
      </c>
      <c r="H92" s="14">
        <f>data!V76</f>
        <v>0</v>
      </c>
      <c r="I92" s="14">
        <f>data!W76</f>
        <v>0</v>
      </c>
    </row>
    <row r="93" spans="1:9" ht="20.149999999999999" customHeight="1" x14ac:dyDescent="0.3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49999999999999" customHeight="1" x14ac:dyDescent="0.35">
      <c r="A94" s="23">
        <v>24</v>
      </c>
      <c r="B94" s="14" t="s">
        <v>1188</v>
      </c>
      <c r="C94" s="14">
        <f>data!Q78</f>
        <v>1149.01</v>
      </c>
      <c r="D94" s="14">
        <f>data!R78</f>
        <v>0</v>
      </c>
      <c r="E94" s="14">
        <f>data!S78</f>
        <v>348.85</v>
      </c>
      <c r="F94" s="14">
        <f>data!T78</f>
        <v>0</v>
      </c>
      <c r="G94" s="14">
        <f>data!U78</f>
        <v>584.26</v>
      </c>
      <c r="H94" s="14">
        <f>data!V78</f>
        <v>0</v>
      </c>
      <c r="I94" s="14">
        <f>data!W78</f>
        <v>0</v>
      </c>
    </row>
    <row r="95" spans="1:9" ht="20.149999999999999" customHeight="1" x14ac:dyDescent="0.3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49999999999999" customHeight="1" x14ac:dyDescent="0.35">
      <c r="A96" s="23">
        <v>26</v>
      </c>
      <c r="B96" s="14" t="s">
        <v>252</v>
      </c>
      <c r="C96" s="84">
        <f>data!Q80</f>
        <v>4.26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49999999999999" customHeight="1" x14ac:dyDescent="0.3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49999999999999" customHeight="1" x14ac:dyDescent="0.3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49999999999999" customHeight="1" x14ac:dyDescent="0.3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49999999999999" customHeight="1" x14ac:dyDescent="0.35">
      <c r="A100" s="79" t="str">
        <f>"HOSPITAL NAME: "&amp;data!C84</f>
        <v>HOSPITAL NAME: Mid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12/31/2020</v>
      </c>
    </row>
    <row r="101" spans="1:9" ht="20.149999999999999" customHeight="1" x14ac:dyDescent="0.3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49999999999999" customHeight="1" x14ac:dyDescent="0.3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49999999999999" customHeight="1" x14ac:dyDescent="0.3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49999999999999" customHeight="1" x14ac:dyDescent="0.3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49999999999999" customHeight="1" x14ac:dyDescent="0.35">
      <c r="A105" s="23">
        <v>4</v>
      </c>
      <c r="B105" s="14" t="s">
        <v>233</v>
      </c>
      <c r="C105" s="14">
        <f>data!X59</f>
        <v>0</v>
      </c>
      <c r="D105" s="14">
        <f>data!Y59</f>
        <v>15720</v>
      </c>
      <c r="E105" s="14">
        <f>data!Z59</f>
        <v>0</v>
      </c>
      <c r="F105" s="14">
        <f>data!AA59</f>
        <v>0</v>
      </c>
      <c r="G105" s="212"/>
      <c r="H105" s="14">
        <f>data!AC59</f>
        <v>2938</v>
      </c>
      <c r="I105" s="14">
        <f>data!AD59</f>
        <v>0</v>
      </c>
    </row>
    <row r="106" spans="1:9" ht="20.149999999999999" customHeight="1" x14ac:dyDescent="0.35">
      <c r="A106" s="23">
        <v>5</v>
      </c>
      <c r="B106" s="14" t="s">
        <v>234</v>
      </c>
      <c r="C106" s="26">
        <f>data!X60</f>
        <v>0</v>
      </c>
      <c r="D106" s="26">
        <f>data!Y60</f>
        <v>10.35</v>
      </c>
      <c r="E106" s="26">
        <f>data!Z60</f>
        <v>0</v>
      </c>
      <c r="F106" s="26">
        <f>data!AA60</f>
        <v>0</v>
      </c>
      <c r="G106" s="26">
        <f>data!AB60</f>
        <v>2.1</v>
      </c>
      <c r="H106" s="26">
        <f>data!AC60</f>
        <v>2.85</v>
      </c>
      <c r="I106" s="26">
        <f>data!AD60</f>
        <v>0</v>
      </c>
    </row>
    <row r="107" spans="1:9" ht="20.149999999999999" customHeight="1" x14ac:dyDescent="0.35">
      <c r="A107" s="23">
        <v>6</v>
      </c>
      <c r="B107" s="14" t="s">
        <v>235</v>
      </c>
      <c r="C107" s="14">
        <f>data!X61</f>
        <v>0</v>
      </c>
      <c r="D107" s="14">
        <f>data!Y61</f>
        <v>796204.56</v>
      </c>
      <c r="E107" s="14">
        <f>data!Z61</f>
        <v>0</v>
      </c>
      <c r="F107" s="14">
        <f>data!AA61</f>
        <v>0</v>
      </c>
      <c r="G107" s="14">
        <f>data!AB61</f>
        <v>194445.67</v>
      </c>
      <c r="H107" s="14">
        <f>data!AC61</f>
        <v>234854.01</v>
      </c>
      <c r="I107" s="14">
        <f>data!AD61</f>
        <v>0</v>
      </c>
    </row>
    <row r="108" spans="1:9" ht="20.149999999999999" customHeight="1" x14ac:dyDescent="0.35">
      <c r="A108" s="23">
        <v>7</v>
      </c>
      <c r="B108" s="14" t="s">
        <v>3</v>
      </c>
      <c r="C108" s="14">
        <f>data!X62</f>
        <v>0</v>
      </c>
      <c r="D108" s="14">
        <f>data!Y62</f>
        <v>190778</v>
      </c>
      <c r="E108" s="14">
        <f>data!Z62</f>
        <v>0</v>
      </c>
      <c r="F108" s="14">
        <f>data!AA62</f>
        <v>0</v>
      </c>
      <c r="G108" s="14">
        <f>data!AB62</f>
        <v>43753</v>
      </c>
      <c r="H108" s="14">
        <f>data!AC62</f>
        <v>60158</v>
      </c>
      <c r="I108" s="14">
        <f>data!AD62</f>
        <v>0</v>
      </c>
    </row>
    <row r="109" spans="1:9" ht="20.149999999999999" customHeight="1" x14ac:dyDescent="0.35">
      <c r="A109" s="23">
        <v>8</v>
      </c>
      <c r="B109" s="14" t="s">
        <v>236</v>
      </c>
      <c r="C109" s="14">
        <f>data!X63</f>
        <v>0</v>
      </c>
      <c r="D109" s="14">
        <f>data!Y63</f>
        <v>908930.63</v>
      </c>
      <c r="E109" s="14">
        <f>data!Z63</f>
        <v>0</v>
      </c>
      <c r="F109" s="14">
        <f>data!AA63</f>
        <v>0</v>
      </c>
      <c r="G109" s="14">
        <f>data!AB63</f>
        <v>87009.36</v>
      </c>
      <c r="H109" s="14">
        <f>data!AC63</f>
        <v>0</v>
      </c>
      <c r="I109" s="14">
        <f>data!AD63</f>
        <v>0</v>
      </c>
    </row>
    <row r="110" spans="1:9" ht="20.149999999999999" customHeight="1" x14ac:dyDescent="0.35">
      <c r="A110" s="23">
        <v>9</v>
      </c>
      <c r="B110" s="14" t="s">
        <v>237</v>
      </c>
      <c r="C110" s="14">
        <f>data!X64</f>
        <v>0</v>
      </c>
      <c r="D110" s="14">
        <f>data!Y64</f>
        <v>372856.41</v>
      </c>
      <c r="E110" s="14">
        <f>data!Z64</f>
        <v>0</v>
      </c>
      <c r="F110" s="14">
        <f>data!AA64</f>
        <v>0</v>
      </c>
      <c r="G110" s="14">
        <f>data!AB64</f>
        <v>595436.34</v>
      </c>
      <c r="H110" s="14">
        <f>data!AC64</f>
        <v>36498.25</v>
      </c>
      <c r="I110" s="14">
        <f>data!AD64</f>
        <v>0</v>
      </c>
    </row>
    <row r="111" spans="1:9" ht="20.149999999999999" customHeight="1" x14ac:dyDescent="0.3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49999999999999" customHeight="1" x14ac:dyDescent="0.35">
      <c r="A112" s="23">
        <v>11</v>
      </c>
      <c r="B112" s="14" t="s">
        <v>445</v>
      </c>
      <c r="C112" s="14">
        <f>data!X66</f>
        <v>0</v>
      </c>
      <c r="D112" s="14">
        <f>data!Y66</f>
        <v>484327.26</v>
      </c>
      <c r="E112" s="14">
        <f>data!Z66</f>
        <v>0</v>
      </c>
      <c r="F112" s="14">
        <f>data!AA66</f>
        <v>0</v>
      </c>
      <c r="G112" s="14">
        <f>data!AB66</f>
        <v>11782.39</v>
      </c>
      <c r="H112" s="14">
        <f>data!AC66</f>
        <v>7432.08</v>
      </c>
      <c r="I112" s="14">
        <f>data!AD66</f>
        <v>0</v>
      </c>
    </row>
    <row r="113" spans="1:9" ht="20.149999999999999" customHeight="1" x14ac:dyDescent="0.35">
      <c r="A113" s="23">
        <v>12</v>
      </c>
      <c r="B113" s="14" t="s">
        <v>6</v>
      </c>
      <c r="C113" s="14">
        <f>data!X67</f>
        <v>0</v>
      </c>
      <c r="D113" s="14">
        <f>data!Y67</f>
        <v>511107</v>
      </c>
      <c r="E113" s="14">
        <f>data!Z67</f>
        <v>0</v>
      </c>
      <c r="F113" s="14">
        <f>data!AA67</f>
        <v>0</v>
      </c>
      <c r="G113" s="14">
        <f>data!AB67</f>
        <v>6397</v>
      </c>
      <c r="H113" s="14">
        <f>data!AC67</f>
        <v>5461</v>
      </c>
      <c r="I113" s="14">
        <f>data!AD67</f>
        <v>0</v>
      </c>
    </row>
    <row r="114" spans="1:9" ht="20.149999999999999" customHeight="1" x14ac:dyDescent="0.35">
      <c r="A114" s="23">
        <v>13</v>
      </c>
      <c r="B114" s="14" t="s">
        <v>474</v>
      </c>
      <c r="C114" s="14">
        <f>data!X68</f>
        <v>0</v>
      </c>
      <c r="D114" s="14">
        <f>data!Y68</f>
        <v>75122.460000000006</v>
      </c>
      <c r="E114" s="14">
        <f>data!Z68</f>
        <v>0</v>
      </c>
      <c r="F114" s="14">
        <f>data!AA68</f>
        <v>0</v>
      </c>
      <c r="G114" s="14">
        <f>data!AB68</f>
        <v>4264.6499999999996</v>
      </c>
      <c r="H114" s="14">
        <f>data!AC68</f>
        <v>21431.57</v>
      </c>
      <c r="I114" s="14">
        <f>data!AD68</f>
        <v>0</v>
      </c>
    </row>
    <row r="115" spans="1:9" ht="20.149999999999999" customHeight="1" x14ac:dyDescent="0.35">
      <c r="A115" s="23">
        <v>14</v>
      </c>
      <c r="B115" s="14" t="s">
        <v>241</v>
      </c>
      <c r="C115" s="14">
        <f>data!X69</f>
        <v>0</v>
      </c>
      <c r="D115" s="14">
        <f>data!Y69</f>
        <v>5595.7</v>
      </c>
      <c r="E115" s="14">
        <f>data!Z69</f>
        <v>0</v>
      </c>
      <c r="F115" s="14">
        <f>data!AA69</f>
        <v>0</v>
      </c>
      <c r="G115" s="14">
        <f>data!AB69</f>
        <v>2056.29</v>
      </c>
      <c r="H115" s="14">
        <f>data!AC69</f>
        <v>2111.83</v>
      </c>
      <c r="I115" s="14">
        <f>data!AD69</f>
        <v>0</v>
      </c>
    </row>
    <row r="116" spans="1:9" ht="20.149999999999999" customHeight="1" x14ac:dyDescent="0.3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-461004.44</v>
      </c>
      <c r="H116" s="14">
        <f>-data!AC70</f>
        <v>0</v>
      </c>
      <c r="I116" s="14">
        <f>-data!AD70</f>
        <v>0</v>
      </c>
    </row>
    <row r="117" spans="1:9" ht="20.149999999999999" customHeight="1" x14ac:dyDescent="0.35">
      <c r="A117" s="23">
        <v>16</v>
      </c>
      <c r="B117" s="48" t="s">
        <v>1180</v>
      </c>
      <c r="C117" s="14">
        <f>data!X71</f>
        <v>0</v>
      </c>
      <c r="D117" s="14">
        <f>data!Y71</f>
        <v>3344922.0200000005</v>
      </c>
      <c r="E117" s="14">
        <f>data!Z71</f>
        <v>0</v>
      </c>
      <c r="F117" s="14">
        <f>data!AA71</f>
        <v>0</v>
      </c>
      <c r="G117" s="14">
        <f>data!AB71</f>
        <v>484140.26000000007</v>
      </c>
      <c r="H117" s="14">
        <f>data!AC71</f>
        <v>367946.74000000005</v>
      </c>
      <c r="I117" s="14">
        <f>data!AD71</f>
        <v>0</v>
      </c>
    </row>
    <row r="118" spans="1:9" ht="20.149999999999999" customHeight="1" x14ac:dyDescent="0.3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49999999999999" customHeight="1" x14ac:dyDescent="0.35">
      <c r="A119" s="23">
        <v>18</v>
      </c>
      <c r="B119" s="14" t="s">
        <v>1181</v>
      </c>
      <c r="C119" s="48">
        <f>+data!M689</f>
        <v>0</v>
      </c>
      <c r="D119" s="48">
        <f>+data!M690</f>
        <v>1184834</v>
      </c>
      <c r="E119" s="48">
        <f>+data!M691</f>
        <v>0</v>
      </c>
      <c r="F119" s="48">
        <f>+data!M692</f>
        <v>0</v>
      </c>
      <c r="G119" s="48">
        <f>+data!M693</f>
        <v>221692</v>
      </c>
      <c r="H119" s="48">
        <f>+data!M694</f>
        <v>94129</v>
      </c>
      <c r="I119" s="48">
        <f>+data!M695</f>
        <v>0</v>
      </c>
    </row>
    <row r="120" spans="1:9" ht="20.149999999999999" customHeight="1" x14ac:dyDescent="0.35">
      <c r="A120" s="23">
        <v>19</v>
      </c>
      <c r="B120" s="48" t="s">
        <v>1182</v>
      </c>
      <c r="C120" s="14">
        <f>data!X73</f>
        <v>0</v>
      </c>
      <c r="D120" s="14">
        <f>data!Y73</f>
        <v>630059.87</v>
      </c>
      <c r="E120" s="14">
        <f>data!Z73</f>
        <v>0</v>
      </c>
      <c r="F120" s="14">
        <f>data!AA73</f>
        <v>0</v>
      </c>
      <c r="G120" s="14">
        <f>data!AB73</f>
        <v>995543.42</v>
      </c>
      <c r="H120" s="14">
        <f>data!AC73</f>
        <v>294018</v>
      </c>
      <c r="I120" s="14">
        <f>data!AD73</f>
        <v>0</v>
      </c>
    </row>
    <row r="121" spans="1:9" ht="20.149999999999999" customHeight="1" x14ac:dyDescent="0.35">
      <c r="A121" s="23">
        <v>20</v>
      </c>
      <c r="B121" s="48" t="s">
        <v>1183</v>
      </c>
      <c r="C121" s="14">
        <f>data!X74</f>
        <v>0</v>
      </c>
      <c r="D121" s="14">
        <f>data!Y74</f>
        <v>17453879</v>
      </c>
      <c r="E121" s="14">
        <f>data!Z74</f>
        <v>0</v>
      </c>
      <c r="F121" s="14">
        <f>data!AA74</f>
        <v>0</v>
      </c>
      <c r="G121" s="14">
        <f>data!AB74</f>
        <v>2338590.2400000002</v>
      </c>
      <c r="H121" s="14">
        <f>data!AC74</f>
        <v>692385.38</v>
      </c>
      <c r="I121" s="14">
        <f>data!AD74</f>
        <v>0</v>
      </c>
    </row>
    <row r="122" spans="1:9" ht="20.149999999999999" customHeight="1" x14ac:dyDescent="0.35">
      <c r="A122" s="23">
        <v>21</v>
      </c>
      <c r="B122" s="48" t="s">
        <v>1184</v>
      </c>
      <c r="C122" s="14">
        <f>data!X75</f>
        <v>0</v>
      </c>
      <c r="D122" s="14">
        <f>data!Y75</f>
        <v>18083938.870000001</v>
      </c>
      <c r="E122" s="14">
        <f>data!Z75</f>
        <v>0</v>
      </c>
      <c r="F122" s="14">
        <f>data!AA75</f>
        <v>0</v>
      </c>
      <c r="G122" s="14">
        <f>data!AB75</f>
        <v>3334133.66</v>
      </c>
      <c r="H122" s="14">
        <f>data!AC75</f>
        <v>986403.38</v>
      </c>
      <c r="I122" s="14">
        <f>data!AD75</f>
        <v>0</v>
      </c>
    </row>
    <row r="123" spans="1:9" ht="20.149999999999999" customHeight="1" x14ac:dyDescent="0.3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49999999999999" customHeight="1" x14ac:dyDescent="0.35">
      <c r="A124" s="23">
        <v>22</v>
      </c>
      <c r="B124" s="14" t="s">
        <v>1186</v>
      </c>
      <c r="C124" s="14">
        <f>data!X76</f>
        <v>0</v>
      </c>
      <c r="D124" s="14">
        <f>data!Y76</f>
        <v>5347</v>
      </c>
      <c r="E124" s="14">
        <f>data!Z76</f>
        <v>0</v>
      </c>
      <c r="F124" s="14">
        <f>data!AA76</f>
        <v>0</v>
      </c>
      <c r="G124" s="14">
        <f>data!AB76</f>
        <v>588</v>
      </c>
      <c r="H124" s="14">
        <f>data!AC76</f>
        <v>394</v>
      </c>
      <c r="I124" s="14">
        <f>data!AD76</f>
        <v>0</v>
      </c>
    </row>
    <row r="125" spans="1:9" ht="20.149999999999999" customHeight="1" x14ac:dyDescent="0.3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49999999999999" customHeight="1" x14ac:dyDescent="0.35">
      <c r="A126" s="23">
        <v>24</v>
      </c>
      <c r="B126" s="14" t="s">
        <v>1188</v>
      </c>
      <c r="C126" s="14">
        <f>data!X78</f>
        <v>0</v>
      </c>
      <c r="D126" s="14">
        <f>data!Y78</f>
        <v>691.6</v>
      </c>
      <c r="E126" s="14">
        <f>data!Z78</f>
        <v>0</v>
      </c>
      <c r="F126" s="14">
        <f>data!AA78</f>
        <v>0</v>
      </c>
      <c r="G126" s="14">
        <f>data!AB78</f>
        <v>171.99</v>
      </c>
      <c r="H126" s="14">
        <f>data!AC78</f>
        <v>297.62</v>
      </c>
      <c r="I126" s="14">
        <f>data!AD78</f>
        <v>0</v>
      </c>
    </row>
    <row r="127" spans="1:9" ht="20.149999999999999" customHeight="1" x14ac:dyDescent="0.35">
      <c r="A127" s="23">
        <v>25</v>
      </c>
      <c r="B127" s="14" t="s">
        <v>1189</v>
      </c>
      <c r="C127" s="14">
        <f>data!X79</f>
        <v>0</v>
      </c>
      <c r="D127" s="14">
        <f>data!Y79</f>
        <v>599.08000000000004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49999999999999" customHeight="1" x14ac:dyDescent="0.35">
      <c r="A128" s="23">
        <v>26</v>
      </c>
      <c r="B128" s="14" t="s">
        <v>252</v>
      </c>
      <c r="C128" s="26">
        <f>data!X80</f>
        <v>0</v>
      </c>
      <c r="D128" s="26">
        <f>data!Y80</f>
        <v>0.24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49999999999999" customHeight="1" x14ac:dyDescent="0.3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49999999999999" customHeight="1" x14ac:dyDescent="0.3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49999999999999" customHeight="1" x14ac:dyDescent="0.3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49999999999999" customHeight="1" x14ac:dyDescent="0.35">
      <c r="A132" s="79" t="str">
        <f>"HOSPITAL NAME: "&amp;data!C84</f>
        <v>HOSPITAL NAME: Mid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12/31/2020</v>
      </c>
    </row>
    <row r="133" spans="1:9" ht="20.149999999999999" customHeight="1" x14ac:dyDescent="0.3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49999999999999" customHeight="1" x14ac:dyDescent="0.3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49999999999999" customHeight="1" x14ac:dyDescent="0.3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49999999999999" customHeight="1" x14ac:dyDescent="0.3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49999999999999" customHeight="1" x14ac:dyDescent="0.35">
      <c r="A137" s="23">
        <v>4</v>
      </c>
      <c r="B137" s="14" t="s">
        <v>233</v>
      </c>
      <c r="C137" s="14">
        <f>data!AE59</f>
        <v>10175</v>
      </c>
      <c r="D137" s="14">
        <f>data!AF59</f>
        <v>0</v>
      </c>
      <c r="E137" s="14">
        <f>data!AG59</f>
        <v>8307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49999999999999" customHeight="1" x14ac:dyDescent="0.35">
      <c r="A138" s="23">
        <v>5</v>
      </c>
      <c r="B138" s="14" t="s">
        <v>234</v>
      </c>
      <c r="C138" s="26">
        <f>data!AE60</f>
        <v>7.17</v>
      </c>
      <c r="D138" s="26">
        <f>data!AF60</f>
        <v>0</v>
      </c>
      <c r="E138" s="26">
        <f>data!AG60</f>
        <v>15.45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49999999999999" customHeight="1" x14ac:dyDescent="0.35">
      <c r="A139" s="23">
        <v>6</v>
      </c>
      <c r="B139" s="14" t="s">
        <v>235</v>
      </c>
      <c r="C139" s="14">
        <f>data!AE61</f>
        <v>458318.19</v>
      </c>
      <c r="D139" s="14">
        <f>data!AF61</f>
        <v>0</v>
      </c>
      <c r="E139" s="14">
        <f>data!AG61</f>
        <v>1403640.18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49999999999999" customHeight="1" x14ac:dyDescent="0.35">
      <c r="A140" s="23">
        <v>7</v>
      </c>
      <c r="B140" s="14" t="s">
        <v>3</v>
      </c>
      <c r="C140" s="14">
        <f>data!AE62</f>
        <v>133440</v>
      </c>
      <c r="D140" s="14">
        <f>data!AF62</f>
        <v>0</v>
      </c>
      <c r="E140" s="14">
        <f>data!AG62</f>
        <v>308990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49999999999999" customHeight="1" x14ac:dyDescent="0.3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2244659.48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49999999999999" customHeight="1" x14ac:dyDescent="0.35">
      <c r="A142" s="23">
        <v>9</v>
      </c>
      <c r="B142" s="14" t="s">
        <v>237</v>
      </c>
      <c r="C142" s="14">
        <f>data!AE64</f>
        <v>6397</v>
      </c>
      <c r="D142" s="14">
        <f>data!AF64</f>
        <v>0</v>
      </c>
      <c r="E142" s="14">
        <f>data!AG64</f>
        <v>182624.12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49999999999999" customHeight="1" x14ac:dyDescent="0.3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49999999999999" customHeight="1" x14ac:dyDescent="0.35">
      <c r="A144" s="23">
        <v>11</v>
      </c>
      <c r="B144" s="14" t="s">
        <v>445</v>
      </c>
      <c r="C144" s="14">
        <f>data!AE66</f>
        <v>24006.69</v>
      </c>
      <c r="D144" s="14">
        <f>data!AF66</f>
        <v>0</v>
      </c>
      <c r="E144" s="14">
        <f>data!AG66</f>
        <v>136549.79999999999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49999999999999" customHeight="1" x14ac:dyDescent="0.35">
      <c r="A145" s="23">
        <v>12</v>
      </c>
      <c r="B145" s="14" t="s">
        <v>6</v>
      </c>
      <c r="C145" s="14">
        <f>data!AE67</f>
        <v>32027</v>
      </c>
      <c r="D145" s="14">
        <f>data!AF67</f>
        <v>0</v>
      </c>
      <c r="E145" s="14">
        <f>data!AG67</f>
        <v>181269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49999999999999" customHeight="1" x14ac:dyDescent="0.35">
      <c r="A146" s="23">
        <v>13</v>
      </c>
      <c r="B146" s="14" t="s">
        <v>474</v>
      </c>
      <c r="C146" s="14">
        <f>data!AE68</f>
        <v>866.07</v>
      </c>
      <c r="D146" s="14">
        <f>data!AF68</f>
        <v>0</v>
      </c>
      <c r="E146" s="14">
        <f>data!AG68</f>
        <v>13383.7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49999999999999" customHeight="1" x14ac:dyDescent="0.35">
      <c r="A147" s="23">
        <v>14</v>
      </c>
      <c r="B147" s="14" t="s">
        <v>241</v>
      </c>
      <c r="C147" s="14">
        <f>data!AE69</f>
        <v>6199.69</v>
      </c>
      <c r="D147" s="14">
        <f>data!AF69</f>
        <v>0</v>
      </c>
      <c r="E147" s="14">
        <f>data!AG69</f>
        <v>1664.65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49999999999999" customHeight="1" x14ac:dyDescent="0.35">
      <c r="A148" s="23">
        <v>15</v>
      </c>
      <c r="B148" s="14" t="s">
        <v>242</v>
      </c>
      <c r="C148" s="14">
        <f>-data!AE70</f>
        <v>-13692.68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49999999999999" customHeight="1" x14ac:dyDescent="0.35">
      <c r="A149" s="23">
        <v>16</v>
      </c>
      <c r="B149" s="48" t="s">
        <v>1180</v>
      </c>
      <c r="C149" s="14">
        <f>data!AE71</f>
        <v>647561.95999999973</v>
      </c>
      <c r="D149" s="14">
        <f>data!AF71</f>
        <v>0</v>
      </c>
      <c r="E149" s="14">
        <f>data!AG71</f>
        <v>4472780.9300000006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49999999999999" customHeight="1" x14ac:dyDescent="0.3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49999999999999" customHeight="1" x14ac:dyDescent="0.35">
      <c r="A151" s="23">
        <v>18</v>
      </c>
      <c r="B151" s="14" t="s">
        <v>1181</v>
      </c>
      <c r="C151" s="48">
        <f>+data!M696</f>
        <v>219599</v>
      </c>
      <c r="D151" s="48">
        <f>+data!M697</f>
        <v>0</v>
      </c>
      <c r="E151" s="48">
        <f>+data!M698</f>
        <v>1218901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49999999999999" customHeight="1" x14ac:dyDescent="0.35">
      <c r="A152" s="23">
        <v>19</v>
      </c>
      <c r="B152" s="48" t="s">
        <v>1182</v>
      </c>
      <c r="C152" s="14">
        <f>data!AE73</f>
        <v>54713</v>
      </c>
      <c r="D152" s="14">
        <f>data!AF73</f>
        <v>0</v>
      </c>
      <c r="E152" s="14">
        <f>data!AG73</f>
        <v>450839.78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49999999999999" customHeight="1" x14ac:dyDescent="0.35">
      <c r="A153" s="23">
        <v>20</v>
      </c>
      <c r="B153" s="48" t="s">
        <v>1183</v>
      </c>
      <c r="C153" s="14">
        <f>data!AE74</f>
        <v>1661184.16</v>
      </c>
      <c r="D153" s="14">
        <f>data!AF74</f>
        <v>0</v>
      </c>
      <c r="E153" s="14">
        <f>data!AG74</f>
        <v>12132030.029999999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49999999999999" customHeight="1" x14ac:dyDescent="0.35">
      <c r="A154" s="23">
        <v>21</v>
      </c>
      <c r="B154" s="48" t="s">
        <v>1184</v>
      </c>
      <c r="C154" s="14">
        <f>data!AE75</f>
        <v>1715897.16</v>
      </c>
      <c r="D154" s="14">
        <f>data!AF75</f>
        <v>0</v>
      </c>
      <c r="E154" s="14">
        <f>data!AG75</f>
        <v>12582869.809999999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49999999999999" customHeight="1" x14ac:dyDescent="0.3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49999999999999" customHeight="1" x14ac:dyDescent="0.35">
      <c r="A156" s="23">
        <v>22</v>
      </c>
      <c r="B156" s="14" t="s">
        <v>1186</v>
      </c>
      <c r="C156" s="14">
        <f>data!AE76</f>
        <v>2944</v>
      </c>
      <c r="D156" s="14">
        <f>data!AF76</f>
        <v>0</v>
      </c>
      <c r="E156" s="14">
        <f>data!AG76</f>
        <v>3601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49999999999999" customHeight="1" x14ac:dyDescent="0.3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49999999999999" customHeight="1" x14ac:dyDescent="0.35">
      <c r="A158" s="23">
        <v>24</v>
      </c>
      <c r="B158" s="14" t="s">
        <v>1188</v>
      </c>
      <c r="C158" s="14">
        <f>data!AE78</f>
        <v>273.22000000000003</v>
      </c>
      <c r="D158" s="14">
        <f>data!AF78</f>
        <v>0</v>
      </c>
      <c r="E158" s="14">
        <f>data!AG78</f>
        <v>5240.0600000000004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49999999999999" customHeight="1" x14ac:dyDescent="0.3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23184.77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49999999999999" customHeight="1" x14ac:dyDescent="0.3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7.48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49999999999999" customHeight="1" x14ac:dyDescent="0.3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49999999999999" customHeight="1" x14ac:dyDescent="0.3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49999999999999" customHeight="1" x14ac:dyDescent="0.3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49999999999999" customHeight="1" x14ac:dyDescent="0.35">
      <c r="A164" s="79" t="str">
        <f>"HOSPITAL NAME: "&amp;data!C84</f>
        <v>HOSPITAL NAME: Mid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12/31/2020</v>
      </c>
    </row>
    <row r="165" spans="1:9" ht="20.149999999999999" customHeight="1" x14ac:dyDescent="0.3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49999999999999" customHeight="1" x14ac:dyDescent="0.3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49999999999999" customHeight="1" x14ac:dyDescent="0.3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49999999999999" customHeight="1" x14ac:dyDescent="0.3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49999999999999" customHeight="1" x14ac:dyDescent="0.3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19595</v>
      </c>
      <c r="H169" s="14">
        <f>data!AQ59</f>
        <v>0</v>
      </c>
      <c r="I169" s="14">
        <f>data!AR59</f>
        <v>0</v>
      </c>
    </row>
    <row r="170" spans="1:9" ht="20.149999999999999" customHeight="1" x14ac:dyDescent="0.3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42.54</v>
      </c>
      <c r="H170" s="26">
        <f>data!AQ60</f>
        <v>0</v>
      </c>
      <c r="I170" s="26">
        <f>data!AR60</f>
        <v>0</v>
      </c>
    </row>
    <row r="171" spans="1:9" ht="20.149999999999999" customHeight="1" x14ac:dyDescent="0.3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4496279.9800000004</v>
      </c>
      <c r="H171" s="14">
        <f>data!AQ61</f>
        <v>0</v>
      </c>
      <c r="I171" s="14">
        <f>data!AR61</f>
        <v>0</v>
      </c>
    </row>
    <row r="172" spans="1:9" ht="20.149999999999999" customHeight="1" x14ac:dyDescent="0.3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836528</v>
      </c>
      <c r="H172" s="14">
        <f>data!AQ62</f>
        <v>0</v>
      </c>
      <c r="I172" s="14">
        <f>data!AR62</f>
        <v>0</v>
      </c>
    </row>
    <row r="173" spans="1:9" ht="20.149999999999999" customHeight="1" x14ac:dyDescent="0.3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32655.599999999999</v>
      </c>
      <c r="H173" s="14">
        <f>data!AQ63</f>
        <v>0</v>
      </c>
      <c r="I173" s="14">
        <f>data!AR63</f>
        <v>0</v>
      </c>
    </row>
    <row r="174" spans="1:9" ht="20.149999999999999" customHeight="1" x14ac:dyDescent="0.3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219624.03</v>
      </c>
      <c r="H174" s="14">
        <f>data!AQ64</f>
        <v>0</v>
      </c>
      <c r="I174" s="14">
        <f>data!AR64</f>
        <v>0</v>
      </c>
    </row>
    <row r="175" spans="1:9" ht="20.149999999999999" customHeight="1" x14ac:dyDescent="0.3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39462.269999999997</v>
      </c>
      <c r="H175" s="14">
        <f>data!AQ65</f>
        <v>0</v>
      </c>
      <c r="I175" s="14">
        <f>data!AR65</f>
        <v>0</v>
      </c>
    </row>
    <row r="176" spans="1:9" ht="20.149999999999999" customHeight="1" x14ac:dyDescent="0.3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298133.36</v>
      </c>
      <c r="H176" s="14">
        <f>data!AQ66</f>
        <v>0</v>
      </c>
      <c r="I176" s="14">
        <f>data!AR66</f>
        <v>0</v>
      </c>
    </row>
    <row r="177" spans="1:9" ht="20.149999999999999" customHeight="1" x14ac:dyDescent="0.3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217884</v>
      </c>
      <c r="H177" s="14">
        <f>data!AQ67</f>
        <v>0</v>
      </c>
      <c r="I177" s="14">
        <f>data!AR67</f>
        <v>0</v>
      </c>
    </row>
    <row r="178" spans="1:9" ht="20.149999999999999" customHeight="1" x14ac:dyDescent="0.3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13962.04</v>
      </c>
      <c r="H178" s="14">
        <f>data!AQ68</f>
        <v>0</v>
      </c>
      <c r="I178" s="14">
        <f>data!AR68</f>
        <v>0</v>
      </c>
    </row>
    <row r="179" spans="1:9" ht="20.149999999999999" customHeight="1" x14ac:dyDescent="0.3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239024.19</v>
      </c>
      <c r="H179" s="14">
        <f>data!AQ69</f>
        <v>0</v>
      </c>
      <c r="I179" s="14">
        <f>data!AR69</f>
        <v>0</v>
      </c>
    </row>
    <row r="180" spans="1:9" ht="20.149999999999999" customHeight="1" x14ac:dyDescent="0.3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-172802.98</v>
      </c>
      <c r="H180" s="14">
        <f>-data!AQ70</f>
        <v>0</v>
      </c>
      <c r="I180" s="14">
        <f>-data!AR70</f>
        <v>0</v>
      </c>
    </row>
    <row r="181" spans="1:9" ht="20.149999999999999" customHeight="1" x14ac:dyDescent="0.3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6220750.4900000002</v>
      </c>
      <c r="H181" s="14">
        <f>data!AQ71</f>
        <v>0</v>
      </c>
      <c r="I181" s="14">
        <f>data!AR71</f>
        <v>0</v>
      </c>
    </row>
    <row r="182" spans="1:9" ht="20.149999999999999" customHeight="1" x14ac:dyDescent="0.3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49999999999999" customHeight="1" x14ac:dyDescent="0.3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1465686</v>
      </c>
      <c r="H183" s="48">
        <f>+data!M708</f>
        <v>0</v>
      </c>
      <c r="I183" s="48">
        <f>+data!M709</f>
        <v>0</v>
      </c>
    </row>
    <row r="184" spans="1:9" ht="20.149999999999999" customHeight="1" x14ac:dyDescent="0.3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762209.2</v>
      </c>
      <c r="H184" s="14">
        <f>data!AQ73</f>
        <v>0</v>
      </c>
      <c r="I184" s="14">
        <f>data!AR73</f>
        <v>0</v>
      </c>
    </row>
    <row r="185" spans="1:9" ht="20.149999999999999" customHeight="1" x14ac:dyDescent="0.3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7669390.5999999996</v>
      </c>
      <c r="H185" s="14">
        <f>data!AQ74</f>
        <v>0</v>
      </c>
      <c r="I185" s="14">
        <f>data!AR74</f>
        <v>0</v>
      </c>
    </row>
    <row r="186" spans="1:9" ht="20.149999999999999" customHeight="1" x14ac:dyDescent="0.3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8431599.7999999989</v>
      </c>
      <c r="H186" s="14">
        <f>data!AQ75</f>
        <v>0</v>
      </c>
      <c r="I186" s="14">
        <f>data!AR75</f>
        <v>0</v>
      </c>
    </row>
    <row r="187" spans="1:9" ht="20.149999999999999" customHeight="1" x14ac:dyDescent="0.3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49999999999999" customHeight="1" x14ac:dyDescent="0.3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15729</v>
      </c>
      <c r="H188" s="14">
        <f>data!AQ76</f>
        <v>0</v>
      </c>
      <c r="I188" s="14">
        <f>data!AR76</f>
        <v>0</v>
      </c>
    </row>
    <row r="189" spans="1:9" ht="20.149999999999999" customHeight="1" x14ac:dyDescent="0.3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49999999999999" customHeight="1" x14ac:dyDescent="0.3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2067.5</v>
      </c>
      <c r="H190" s="14">
        <f>data!AQ78</f>
        <v>0</v>
      </c>
      <c r="I190" s="14">
        <f>data!AR78</f>
        <v>0</v>
      </c>
    </row>
    <row r="191" spans="1:9" ht="20.149999999999999" customHeight="1" x14ac:dyDescent="0.3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49999999999999" customHeight="1" x14ac:dyDescent="0.3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11.9</v>
      </c>
      <c r="H192" s="26">
        <f>data!AQ80</f>
        <v>0</v>
      </c>
      <c r="I192" s="26">
        <f>data!AR80</f>
        <v>0</v>
      </c>
    </row>
    <row r="193" spans="1:9" ht="20.149999999999999" customHeight="1" x14ac:dyDescent="0.3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49999999999999" customHeight="1" x14ac:dyDescent="0.3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49999999999999" customHeight="1" x14ac:dyDescent="0.3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49999999999999" customHeight="1" x14ac:dyDescent="0.35">
      <c r="A196" s="79" t="str">
        <f>"HOSPITAL NAME: "&amp;data!C84</f>
        <v>HOSPITAL NAME: Mid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12/31/2020</v>
      </c>
    </row>
    <row r="197" spans="1:9" ht="20.149999999999999" customHeight="1" x14ac:dyDescent="0.3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49999999999999" customHeight="1" x14ac:dyDescent="0.3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49999999999999" customHeight="1" x14ac:dyDescent="0.3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49999999999999" customHeight="1" x14ac:dyDescent="0.3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49999999999999" customHeight="1" x14ac:dyDescent="0.3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8264</v>
      </c>
    </row>
    <row r="202" spans="1:9" ht="20.149999999999999" customHeight="1" x14ac:dyDescent="0.3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7.15</v>
      </c>
    </row>
    <row r="203" spans="1:9" ht="20.149999999999999" customHeight="1" x14ac:dyDescent="0.3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284980.28000000003</v>
      </c>
    </row>
    <row r="204" spans="1:9" ht="20.149999999999999" customHeight="1" x14ac:dyDescent="0.3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97485</v>
      </c>
    </row>
    <row r="205" spans="1:9" ht="20.149999999999999" customHeight="1" x14ac:dyDescent="0.3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49999999999999" customHeight="1" x14ac:dyDescent="0.3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171566.53</v>
      </c>
    </row>
    <row r="207" spans="1:9" ht="20.149999999999999" customHeight="1" x14ac:dyDescent="0.3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49999999999999" customHeight="1" x14ac:dyDescent="0.3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6487.82</v>
      </c>
    </row>
    <row r="209" spans="1:9" ht="20.149999999999999" customHeight="1" x14ac:dyDescent="0.3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32567</v>
      </c>
    </row>
    <row r="210" spans="1:9" ht="20.149999999999999" customHeight="1" x14ac:dyDescent="0.3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49999999999999" customHeight="1" x14ac:dyDescent="0.3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843.63</v>
      </c>
    </row>
    <row r="212" spans="1:9" ht="20.149999999999999" customHeight="1" x14ac:dyDescent="0.3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-114386.4</v>
      </c>
    </row>
    <row r="213" spans="1:9" ht="20.149999999999999" customHeight="1" x14ac:dyDescent="0.3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479543.86</v>
      </c>
    </row>
    <row r="214" spans="1:9" ht="20.149999999999999" customHeight="1" x14ac:dyDescent="0.3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49999999999999" customHeight="1" x14ac:dyDescent="0.3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49999999999999" customHeight="1" x14ac:dyDescent="0.3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49999999999999" customHeight="1" x14ac:dyDescent="0.3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49999999999999" customHeight="1" x14ac:dyDescent="0.3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49999999999999" customHeight="1" x14ac:dyDescent="0.3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49999999999999" customHeight="1" x14ac:dyDescent="0.3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2351</v>
      </c>
    </row>
    <row r="221" spans="1:9" ht="20.149999999999999" customHeight="1" x14ac:dyDescent="0.3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49999999999999" customHeight="1" x14ac:dyDescent="0.3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49999999999999" customHeight="1" x14ac:dyDescent="0.3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49999999999999" customHeight="1" x14ac:dyDescent="0.3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49999999999999" customHeight="1" x14ac:dyDescent="0.3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49999999999999" customHeight="1" x14ac:dyDescent="0.3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49999999999999" customHeight="1" x14ac:dyDescent="0.3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49999999999999" customHeight="1" x14ac:dyDescent="0.35">
      <c r="A228" s="79" t="str">
        <f>"HOSPITAL NAME: "&amp;data!C84</f>
        <v>HOSPITAL NAME: Mid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12/31/2020</v>
      </c>
    </row>
    <row r="229" spans="1:9" ht="20.149999999999999" customHeight="1" x14ac:dyDescent="0.3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49999999999999" customHeight="1" x14ac:dyDescent="0.3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49999999999999" customHeight="1" x14ac:dyDescent="0.3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49999999999999" customHeight="1" x14ac:dyDescent="0.3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49999999999999" customHeight="1" x14ac:dyDescent="0.3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82579</v>
      </c>
      <c r="I233" s="212"/>
    </row>
    <row r="234" spans="1:9" ht="20.149999999999999" customHeight="1" x14ac:dyDescent="0.3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2.1800000000000002</v>
      </c>
      <c r="H234" s="26">
        <f>data!BE60</f>
        <v>3.47</v>
      </c>
      <c r="I234" s="26">
        <f>data!BF60</f>
        <v>10.65</v>
      </c>
    </row>
    <row r="235" spans="1:9" ht="20.149999999999999" customHeight="1" x14ac:dyDescent="0.3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115644.11</v>
      </c>
      <c r="H235" s="14">
        <f>data!BE61</f>
        <v>204750.89</v>
      </c>
      <c r="I235" s="14">
        <f>data!BF61</f>
        <v>329253.87</v>
      </c>
    </row>
    <row r="236" spans="1:9" ht="20.149999999999999" customHeight="1" x14ac:dyDescent="0.3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35698</v>
      </c>
      <c r="H236" s="14">
        <f>data!BE62</f>
        <v>55824</v>
      </c>
      <c r="I236" s="14">
        <f>data!BF62</f>
        <v>125640</v>
      </c>
    </row>
    <row r="237" spans="1:9" ht="20.149999999999999" customHeight="1" x14ac:dyDescent="0.3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49999999999999" customHeight="1" x14ac:dyDescent="0.35">
      <c r="A238" s="23">
        <v>9</v>
      </c>
      <c r="B238" s="14" t="s">
        <v>237</v>
      </c>
      <c r="C238" s="14">
        <f>data!AZ64</f>
        <v>0</v>
      </c>
      <c r="D238" s="14">
        <f>data!BA64</f>
        <v>1216.8699999999999</v>
      </c>
      <c r="E238" s="14">
        <f>data!BB64</f>
        <v>0</v>
      </c>
      <c r="F238" s="14">
        <f>data!BC64</f>
        <v>0</v>
      </c>
      <c r="G238" s="14">
        <f>data!BD64</f>
        <v>348.86</v>
      </c>
      <c r="H238" s="14">
        <f>data!BE64</f>
        <v>45193.26</v>
      </c>
      <c r="I238" s="14">
        <f>data!BF64</f>
        <v>31762.41</v>
      </c>
    </row>
    <row r="239" spans="1:9" ht="20.149999999999999" customHeight="1" x14ac:dyDescent="0.35">
      <c r="A239" s="23">
        <v>10</v>
      </c>
      <c r="B239" s="14" t="s">
        <v>444</v>
      </c>
      <c r="C239" s="14">
        <f>data!AZ65</f>
        <v>0</v>
      </c>
      <c r="D239" s="14">
        <f>data!BA65</f>
        <v>666.62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333928.14</v>
      </c>
      <c r="I239" s="14">
        <f>data!BF65</f>
        <v>0</v>
      </c>
    </row>
    <row r="240" spans="1:9" ht="20.149999999999999" customHeight="1" x14ac:dyDescent="0.35">
      <c r="A240" s="23">
        <v>11</v>
      </c>
      <c r="B240" s="14" t="s">
        <v>445</v>
      </c>
      <c r="C240" s="14">
        <f>data!AZ66</f>
        <v>0</v>
      </c>
      <c r="D240" s="14">
        <f>data!BA66</f>
        <v>167778.21</v>
      </c>
      <c r="E240" s="14">
        <f>data!BB66</f>
        <v>0</v>
      </c>
      <c r="F240" s="14">
        <f>data!BC66</f>
        <v>0</v>
      </c>
      <c r="G240" s="14">
        <f>data!BD66</f>
        <v>6038.28</v>
      </c>
      <c r="H240" s="14">
        <f>data!BE66</f>
        <v>71937.259999999995</v>
      </c>
      <c r="I240" s="14">
        <f>data!BF66</f>
        <v>918.26</v>
      </c>
    </row>
    <row r="241" spans="1:9" ht="20.149999999999999" customHeight="1" x14ac:dyDescent="0.35">
      <c r="A241" s="23">
        <v>12</v>
      </c>
      <c r="B241" s="14" t="s">
        <v>6</v>
      </c>
      <c r="C241" s="14">
        <f>data!AZ67</f>
        <v>0</v>
      </c>
      <c r="D241" s="14">
        <f>data!BA67</f>
        <v>5505</v>
      </c>
      <c r="E241" s="14">
        <f>data!BB67</f>
        <v>0</v>
      </c>
      <c r="F241" s="14">
        <f>data!BC67</f>
        <v>0</v>
      </c>
      <c r="G241" s="14">
        <f>data!BD67</f>
        <v>3731</v>
      </c>
      <c r="H241" s="14">
        <f>data!BE67</f>
        <v>317694</v>
      </c>
      <c r="I241" s="14">
        <f>data!BF67</f>
        <v>3808</v>
      </c>
    </row>
    <row r="242" spans="1:9" ht="20.149999999999999" customHeight="1" x14ac:dyDescent="0.3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0</v>
      </c>
    </row>
    <row r="243" spans="1:9" ht="20.149999999999999" customHeight="1" x14ac:dyDescent="0.3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369.42</v>
      </c>
      <c r="H243" s="14">
        <f>data!BE69</f>
        <v>1096.07</v>
      </c>
      <c r="I243" s="14">
        <f>data!BF69</f>
        <v>388.53</v>
      </c>
    </row>
    <row r="244" spans="1:9" ht="20.149999999999999" customHeight="1" x14ac:dyDescent="0.3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49999999999999" customHeight="1" x14ac:dyDescent="0.35">
      <c r="A245" s="23">
        <v>16</v>
      </c>
      <c r="B245" s="48" t="s">
        <v>1180</v>
      </c>
      <c r="C245" s="14">
        <f>data!AZ71</f>
        <v>0</v>
      </c>
      <c r="D245" s="14">
        <f>data!BA71</f>
        <v>175166.69999999998</v>
      </c>
      <c r="E245" s="14">
        <f>data!BB71</f>
        <v>0</v>
      </c>
      <c r="F245" s="14">
        <f>data!BC71</f>
        <v>0</v>
      </c>
      <c r="G245" s="14">
        <f>data!BD71</f>
        <v>161829.66999999998</v>
      </c>
      <c r="H245" s="14">
        <f>data!BE71</f>
        <v>1030423.62</v>
      </c>
      <c r="I245" s="14">
        <f>data!BF71</f>
        <v>491771.07</v>
      </c>
    </row>
    <row r="246" spans="1:9" ht="20.149999999999999" customHeight="1" x14ac:dyDescent="0.3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49999999999999" customHeight="1" x14ac:dyDescent="0.3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49999999999999" customHeight="1" x14ac:dyDescent="0.3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49999999999999" customHeight="1" x14ac:dyDescent="0.3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49999999999999" customHeight="1" x14ac:dyDescent="0.3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49999999999999" customHeight="1" x14ac:dyDescent="0.3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49999999999999" customHeight="1" x14ac:dyDescent="0.35">
      <c r="A252" s="23">
        <v>22</v>
      </c>
      <c r="B252" s="14" t="s">
        <v>1186</v>
      </c>
      <c r="C252" s="85">
        <f>data!AZ76</f>
        <v>0</v>
      </c>
      <c r="D252" s="85">
        <f>data!BA76</f>
        <v>506</v>
      </c>
      <c r="E252" s="85">
        <f>data!BB76</f>
        <v>0</v>
      </c>
      <c r="F252" s="85">
        <f>data!BC76</f>
        <v>0</v>
      </c>
      <c r="G252" s="85">
        <f>data!BD76</f>
        <v>343</v>
      </c>
      <c r="H252" s="85">
        <f>data!BE76</f>
        <v>24733</v>
      </c>
      <c r="I252" s="85">
        <f>data!BF76</f>
        <v>350</v>
      </c>
    </row>
    <row r="253" spans="1:9" ht="20.149999999999999" customHeight="1" x14ac:dyDescent="0.3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49999999999999" customHeight="1" x14ac:dyDescent="0.3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569.63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49999999999999" customHeight="1" x14ac:dyDescent="0.3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49999999999999" customHeight="1" x14ac:dyDescent="0.3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49999999999999" customHeight="1" x14ac:dyDescent="0.3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49999999999999" customHeight="1" x14ac:dyDescent="0.3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49999999999999" customHeight="1" x14ac:dyDescent="0.3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49999999999999" customHeight="1" x14ac:dyDescent="0.35">
      <c r="A260" s="79" t="str">
        <f>"HOSPITAL NAME: "&amp;data!C84</f>
        <v>HOSPITAL NAME: Mid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12/31/2020</v>
      </c>
    </row>
    <row r="261" spans="1:9" ht="20.149999999999999" customHeight="1" x14ac:dyDescent="0.3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49999999999999" customHeight="1" x14ac:dyDescent="0.3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49999999999999" customHeight="1" x14ac:dyDescent="0.3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49999999999999" customHeight="1" x14ac:dyDescent="0.3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49999999999999" customHeight="1" x14ac:dyDescent="0.3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49999999999999" customHeight="1" x14ac:dyDescent="0.35">
      <c r="A266" s="23">
        <v>5</v>
      </c>
      <c r="B266" s="14" t="s">
        <v>234</v>
      </c>
      <c r="C266" s="26">
        <f>data!BG60</f>
        <v>0.59</v>
      </c>
      <c r="D266" s="26">
        <f>data!BH60</f>
        <v>3.92</v>
      </c>
      <c r="E266" s="26">
        <f>data!BI60</f>
        <v>0</v>
      </c>
      <c r="F266" s="26">
        <f>data!BJ60</f>
        <v>5.27</v>
      </c>
      <c r="G266" s="26">
        <f>data!BK60</f>
        <v>13.59</v>
      </c>
      <c r="H266" s="26">
        <f>data!BL60</f>
        <v>6.9</v>
      </c>
      <c r="I266" s="26">
        <f>data!BM60</f>
        <v>0</v>
      </c>
    </row>
    <row r="267" spans="1:9" ht="20.149999999999999" customHeight="1" x14ac:dyDescent="0.35">
      <c r="A267" s="23">
        <v>6</v>
      </c>
      <c r="B267" s="14" t="s">
        <v>235</v>
      </c>
      <c r="C267" s="14">
        <f>data!BG61</f>
        <v>32529.56</v>
      </c>
      <c r="D267" s="14">
        <f>data!BH61</f>
        <v>283757.51</v>
      </c>
      <c r="E267" s="14">
        <f>data!BI61</f>
        <v>0</v>
      </c>
      <c r="F267" s="14">
        <f>data!BJ61</f>
        <v>472230.25</v>
      </c>
      <c r="G267" s="14">
        <f>data!BK61</f>
        <v>540901.13</v>
      </c>
      <c r="H267" s="14">
        <f>data!BL61</f>
        <v>158877.63</v>
      </c>
      <c r="I267" s="14">
        <f>data!BM61</f>
        <v>0</v>
      </c>
    </row>
    <row r="268" spans="1:9" ht="20.149999999999999" customHeight="1" x14ac:dyDescent="0.35">
      <c r="A268" s="23">
        <v>7</v>
      </c>
      <c r="B268" s="14" t="s">
        <v>3</v>
      </c>
      <c r="C268" s="14">
        <f>data!BG62</f>
        <v>16341</v>
      </c>
      <c r="D268" s="14">
        <f>data!BH62</f>
        <v>81827</v>
      </c>
      <c r="E268" s="14">
        <f>data!BI62</f>
        <v>0</v>
      </c>
      <c r="F268" s="14">
        <f>data!BJ62</f>
        <v>106839</v>
      </c>
      <c r="G268" s="14">
        <f>data!BK62</f>
        <v>205141</v>
      </c>
      <c r="H268" s="14">
        <f>data!BL62</f>
        <v>92492</v>
      </c>
      <c r="I268" s="14">
        <f>data!BM62</f>
        <v>0</v>
      </c>
    </row>
    <row r="269" spans="1:9" ht="20.149999999999999" customHeight="1" x14ac:dyDescent="0.3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68019.27</v>
      </c>
      <c r="G269" s="14">
        <f>data!BK63</f>
        <v>90235.82</v>
      </c>
      <c r="H269" s="14">
        <f>data!BL63</f>
        <v>0</v>
      </c>
      <c r="I269" s="14">
        <f>data!BM63</f>
        <v>0</v>
      </c>
    </row>
    <row r="270" spans="1:9" ht="20.149999999999999" customHeight="1" x14ac:dyDescent="0.35">
      <c r="A270" s="23">
        <v>9</v>
      </c>
      <c r="B270" s="14" t="s">
        <v>237</v>
      </c>
      <c r="C270" s="14">
        <f>data!BG64</f>
        <v>0</v>
      </c>
      <c r="D270" s="14">
        <f>data!BH64</f>
        <v>27769.03</v>
      </c>
      <c r="E270" s="14">
        <f>data!BI64</f>
        <v>0</v>
      </c>
      <c r="F270" s="14">
        <f>data!BJ64</f>
        <v>15880.15</v>
      </c>
      <c r="G270" s="14">
        <f>data!BK64</f>
        <v>21755.78</v>
      </c>
      <c r="H270" s="14">
        <f>data!BL64</f>
        <v>17236.07</v>
      </c>
      <c r="I270" s="14">
        <f>data!BM64</f>
        <v>0</v>
      </c>
    </row>
    <row r="271" spans="1:9" ht="20.149999999999999" customHeight="1" x14ac:dyDescent="0.35">
      <c r="A271" s="23">
        <v>10</v>
      </c>
      <c r="B271" s="14" t="s">
        <v>444</v>
      </c>
      <c r="C271" s="14">
        <f>data!BG65</f>
        <v>80034.570000000007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49999999999999" customHeight="1" x14ac:dyDescent="0.35">
      <c r="A272" s="23">
        <v>11</v>
      </c>
      <c r="B272" s="14" t="s">
        <v>445</v>
      </c>
      <c r="C272" s="14">
        <f>data!BG66</f>
        <v>12131.9</v>
      </c>
      <c r="D272" s="14">
        <f>data!BH66</f>
        <v>368557.64</v>
      </c>
      <c r="E272" s="14">
        <f>data!BI66</f>
        <v>0</v>
      </c>
      <c r="F272" s="14">
        <f>data!BJ66</f>
        <v>56189.57</v>
      </c>
      <c r="G272" s="14">
        <f>data!BK66</f>
        <v>130323.09</v>
      </c>
      <c r="H272" s="14">
        <f>data!BL66</f>
        <v>6038.28</v>
      </c>
      <c r="I272" s="14">
        <f>data!BM66</f>
        <v>0</v>
      </c>
    </row>
    <row r="273" spans="1:9" ht="20.149999999999999" customHeight="1" x14ac:dyDescent="0.35">
      <c r="A273" s="23">
        <v>12</v>
      </c>
      <c r="B273" s="14" t="s">
        <v>6</v>
      </c>
      <c r="C273" s="14">
        <f>data!BG67</f>
        <v>3177</v>
      </c>
      <c r="D273" s="14">
        <f>data!BH67</f>
        <v>47895</v>
      </c>
      <c r="E273" s="14">
        <f>data!BI67</f>
        <v>0</v>
      </c>
      <c r="F273" s="14">
        <f>data!BJ67</f>
        <v>16197</v>
      </c>
      <c r="G273" s="14">
        <f>data!BK67</f>
        <v>19070</v>
      </c>
      <c r="H273" s="14">
        <f>data!BL67</f>
        <v>2741</v>
      </c>
      <c r="I273" s="14">
        <f>data!BM67</f>
        <v>0</v>
      </c>
    </row>
    <row r="274" spans="1:9" ht="20.149999999999999" customHeight="1" x14ac:dyDescent="0.35">
      <c r="A274" s="23">
        <v>13</v>
      </c>
      <c r="B274" s="14" t="s">
        <v>474</v>
      </c>
      <c r="C274" s="14">
        <f>data!BG68</f>
        <v>2247.84</v>
      </c>
      <c r="D274" s="14">
        <f>data!BH68</f>
        <v>9000</v>
      </c>
      <c r="E274" s="14">
        <f>data!BI68</f>
        <v>0</v>
      </c>
      <c r="F274" s="14">
        <f>data!BJ68</f>
        <v>9121.89</v>
      </c>
      <c r="G274" s="14">
        <f>data!BK68</f>
        <v>16452.599999999999</v>
      </c>
      <c r="H274" s="14">
        <f>data!BL68</f>
        <v>927.75</v>
      </c>
      <c r="I274" s="14">
        <f>data!BM68</f>
        <v>0</v>
      </c>
    </row>
    <row r="275" spans="1:9" ht="20.149999999999999" customHeight="1" x14ac:dyDescent="0.35">
      <c r="A275" s="23">
        <v>14</v>
      </c>
      <c r="B275" s="14" t="s">
        <v>241</v>
      </c>
      <c r="C275" s="14">
        <f>data!BG69</f>
        <v>0</v>
      </c>
      <c r="D275" s="14">
        <f>data!BH69</f>
        <v>3421.53</v>
      </c>
      <c r="E275" s="14">
        <f>data!BI69</f>
        <v>0</v>
      </c>
      <c r="F275" s="14">
        <f>data!BJ69</f>
        <v>8162.42</v>
      </c>
      <c r="G275" s="14">
        <f>data!BK69</f>
        <v>1230.6199999999999</v>
      </c>
      <c r="H275" s="14">
        <f>data!BL69</f>
        <v>-20.94</v>
      </c>
      <c r="I275" s="14">
        <f>data!BM69</f>
        <v>0</v>
      </c>
    </row>
    <row r="276" spans="1:9" ht="20.149999999999999" customHeight="1" x14ac:dyDescent="0.35">
      <c r="A276" s="23">
        <v>15</v>
      </c>
      <c r="B276" s="14" t="s">
        <v>242</v>
      </c>
      <c r="C276" s="14">
        <f>-data!BG70</f>
        <v>-1597.5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49999999999999" customHeight="1" x14ac:dyDescent="0.35">
      <c r="A277" s="23">
        <v>16</v>
      </c>
      <c r="B277" s="48" t="s">
        <v>1180</v>
      </c>
      <c r="C277" s="14">
        <f>data!BG71</f>
        <v>144864.37</v>
      </c>
      <c r="D277" s="14">
        <f>data!BH71</f>
        <v>822227.71000000008</v>
      </c>
      <c r="E277" s="14">
        <f>data!BI71</f>
        <v>0</v>
      </c>
      <c r="F277" s="14">
        <f>data!BJ71</f>
        <v>752639.55</v>
      </c>
      <c r="G277" s="14">
        <f>data!BK71</f>
        <v>1025110.0399999999</v>
      </c>
      <c r="H277" s="14">
        <f>data!BL71</f>
        <v>278291.79000000004</v>
      </c>
      <c r="I277" s="14">
        <f>data!BM71</f>
        <v>0</v>
      </c>
    </row>
    <row r="278" spans="1:9" ht="20.149999999999999" customHeight="1" x14ac:dyDescent="0.3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49999999999999" customHeight="1" x14ac:dyDescent="0.3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49999999999999" customHeight="1" x14ac:dyDescent="0.3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49999999999999" customHeight="1" x14ac:dyDescent="0.3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49999999999999" customHeight="1" x14ac:dyDescent="0.3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49999999999999" customHeight="1" x14ac:dyDescent="0.3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49999999999999" customHeight="1" x14ac:dyDescent="0.35">
      <c r="A284" s="23">
        <v>22</v>
      </c>
      <c r="B284" s="14" t="s">
        <v>1186</v>
      </c>
      <c r="C284" s="85">
        <f>data!BG76</f>
        <v>292</v>
      </c>
      <c r="D284" s="85">
        <f>data!BH76</f>
        <v>652</v>
      </c>
      <c r="E284" s="85">
        <f>data!BI76</f>
        <v>0</v>
      </c>
      <c r="F284" s="85">
        <f>data!BJ76</f>
        <v>615</v>
      </c>
      <c r="G284" s="85">
        <f>data!BK76</f>
        <v>1753</v>
      </c>
      <c r="H284" s="85">
        <f>data!BL76</f>
        <v>252</v>
      </c>
      <c r="I284" s="85">
        <f>data!BM76</f>
        <v>0</v>
      </c>
    </row>
    <row r="285" spans="1:9" ht="20.149999999999999" customHeight="1" x14ac:dyDescent="0.3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49999999999999" customHeight="1" x14ac:dyDescent="0.3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49999999999999" customHeight="1" x14ac:dyDescent="0.3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49999999999999" customHeight="1" x14ac:dyDescent="0.3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49999999999999" customHeight="1" x14ac:dyDescent="0.3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49999999999999" customHeight="1" x14ac:dyDescent="0.3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49999999999999" customHeight="1" x14ac:dyDescent="0.3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49999999999999" customHeight="1" x14ac:dyDescent="0.35">
      <c r="A292" s="79" t="str">
        <f>"HOSPITAL NAME: "&amp;data!C84</f>
        <v>HOSPITAL NAME: Mid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12/31/2020</v>
      </c>
    </row>
    <row r="293" spans="1:9" ht="20.149999999999999" customHeight="1" x14ac:dyDescent="0.3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49999999999999" customHeight="1" x14ac:dyDescent="0.3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49999999999999" customHeight="1" x14ac:dyDescent="0.3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49999999999999" customHeight="1" x14ac:dyDescent="0.3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49999999999999" customHeight="1" x14ac:dyDescent="0.3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49999999999999" customHeight="1" x14ac:dyDescent="0.35">
      <c r="A298" s="23">
        <v>5</v>
      </c>
      <c r="B298" s="14" t="s">
        <v>234</v>
      </c>
      <c r="C298" s="26">
        <f>data!BN60</f>
        <v>4.58</v>
      </c>
      <c r="D298" s="26">
        <f>data!BO60</f>
        <v>2.27</v>
      </c>
      <c r="E298" s="26">
        <f>data!BP60</f>
        <v>0</v>
      </c>
      <c r="F298" s="26">
        <f>data!BQ60</f>
        <v>0</v>
      </c>
      <c r="G298" s="26">
        <f>data!BR60</f>
        <v>2.04</v>
      </c>
      <c r="H298" s="26">
        <f>data!BS60</f>
        <v>0</v>
      </c>
      <c r="I298" s="26">
        <f>data!BT60</f>
        <v>0</v>
      </c>
    </row>
    <row r="299" spans="1:9" ht="20.149999999999999" customHeight="1" x14ac:dyDescent="0.35">
      <c r="A299" s="23">
        <v>6</v>
      </c>
      <c r="B299" s="14" t="s">
        <v>235</v>
      </c>
      <c r="C299" s="14">
        <f>data!BN61</f>
        <v>640547.93999999994</v>
      </c>
      <c r="D299" s="14">
        <f>data!BO61</f>
        <v>268114.46999999997</v>
      </c>
      <c r="E299" s="14">
        <f>data!BP61</f>
        <v>0</v>
      </c>
      <c r="F299" s="14">
        <f>data!BQ61</f>
        <v>0</v>
      </c>
      <c r="G299" s="14">
        <f>data!BR61</f>
        <v>188301.92</v>
      </c>
      <c r="H299" s="14">
        <f>data!BS61</f>
        <v>0</v>
      </c>
      <c r="I299" s="14">
        <f>data!BT61</f>
        <v>0</v>
      </c>
    </row>
    <row r="300" spans="1:9" ht="20.149999999999999" customHeight="1" x14ac:dyDescent="0.35">
      <c r="A300" s="23">
        <v>7</v>
      </c>
      <c r="B300" s="14" t="s">
        <v>3</v>
      </c>
      <c r="C300" s="14">
        <f>data!BN62</f>
        <v>117285</v>
      </c>
      <c r="D300" s="14">
        <f>data!BO62</f>
        <v>38307</v>
      </c>
      <c r="E300" s="14">
        <f>data!BP62</f>
        <v>0</v>
      </c>
      <c r="F300" s="14">
        <f>data!BQ62</f>
        <v>0</v>
      </c>
      <c r="G300" s="14">
        <f>data!BR62</f>
        <v>44488</v>
      </c>
      <c r="H300" s="14">
        <f>data!BS62</f>
        <v>0</v>
      </c>
      <c r="I300" s="14">
        <f>data!BT62</f>
        <v>0</v>
      </c>
    </row>
    <row r="301" spans="1:9" ht="20.149999999999999" customHeight="1" x14ac:dyDescent="0.35">
      <c r="A301" s="23">
        <v>8</v>
      </c>
      <c r="B301" s="14" t="s">
        <v>236</v>
      </c>
      <c r="C301" s="14">
        <f>data!BN63</f>
        <v>30985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3618</v>
      </c>
      <c r="H301" s="14">
        <f>data!BS63</f>
        <v>0</v>
      </c>
      <c r="I301" s="14">
        <f>data!BT63</f>
        <v>0</v>
      </c>
    </row>
    <row r="302" spans="1:9" ht="20.149999999999999" customHeight="1" x14ac:dyDescent="0.35">
      <c r="A302" s="23">
        <v>9</v>
      </c>
      <c r="B302" s="14" t="s">
        <v>237</v>
      </c>
      <c r="C302" s="14">
        <f>data!BN64</f>
        <v>13054.2</v>
      </c>
      <c r="D302" s="14">
        <f>data!BO64</f>
        <v>7585.64</v>
      </c>
      <c r="E302" s="14">
        <f>data!BP64</f>
        <v>0</v>
      </c>
      <c r="F302" s="14">
        <f>data!BQ64</f>
        <v>0</v>
      </c>
      <c r="G302" s="14">
        <f>data!BR64</f>
        <v>855.62</v>
      </c>
      <c r="H302" s="14">
        <f>data!BS64</f>
        <v>0</v>
      </c>
      <c r="I302" s="14">
        <f>data!BT64</f>
        <v>0</v>
      </c>
    </row>
    <row r="303" spans="1:9" ht="20.149999999999999" customHeight="1" x14ac:dyDescent="0.3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49999999999999" customHeight="1" x14ac:dyDescent="0.35">
      <c r="A304" s="23">
        <v>11</v>
      </c>
      <c r="B304" s="14" t="s">
        <v>445</v>
      </c>
      <c r="C304" s="14">
        <f>data!BN66</f>
        <v>91902.15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6590.41</v>
      </c>
      <c r="H304" s="14">
        <f>data!BS66</f>
        <v>0</v>
      </c>
      <c r="I304" s="14">
        <f>data!BT66</f>
        <v>0</v>
      </c>
    </row>
    <row r="305" spans="1:9" ht="20.149999999999999" customHeight="1" x14ac:dyDescent="0.35">
      <c r="A305" s="23">
        <v>12</v>
      </c>
      <c r="B305" s="14" t="s">
        <v>6</v>
      </c>
      <c r="C305" s="14">
        <f>data!BN67</f>
        <v>7626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3514</v>
      </c>
      <c r="H305" s="14">
        <f>data!BS67</f>
        <v>0</v>
      </c>
      <c r="I305" s="14">
        <f>data!BT67</f>
        <v>0</v>
      </c>
    </row>
    <row r="306" spans="1:9" ht="20.149999999999999" customHeight="1" x14ac:dyDescent="0.35">
      <c r="A306" s="23">
        <v>13</v>
      </c>
      <c r="B306" s="14" t="s">
        <v>474</v>
      </c>
      <c r="C306" s="14">
        <f>data!BN68</f>
        <v>7110.88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49999999999999" customHeight="1" x14ac:dyDescent="0.35">
      <c r="A307" s="23">
        <v>14</v>
      </c>
      <c r="B307" s="14" t="s">
        <v>241</v>
      </c>
      <c r="C307" s="14">
        <f>data!BN69</f>
        <v>67463.62</v>
      </c>
      <c r="D307" s="14">
        <f>data!BO69</f>
        <v>124.19</v>
      </c>
      <c r="E307" s="14">
        <f>data!BP69</f>
        <v>0</v>
      </c>
      <c r="F307" s="14">
        <f>data!BQ69</f>
        <v>0</v>
      </c>
      <c r="G307" s="14">
        <f>data!BR69</f>
        <v>62147.12</v>
      </c>
      <c r="H307" s="14">
        <f>data!BS69</f>
        <v>0</v>
      </c>
      <c r="I307" s="14">
        <f>data!BT69</f>
        <v>0</v>
      </c>
    </row>
    <row r="308" spans="1:9" ht="20.149999999999999" customHeight="1" x14ac:dyDescent="0.3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49999999999999" customHeight="1" x14ac:dyDescent="0.35">
      <c r="A309" s="23">
        <v>16</v>
      </c>
      <c r="B309" s="48" t="s">
        <v>1180</v>
      </c>
      <c r="C309" s="14">
        <f>data!BN71</f>
        <v>975974.78999999992</v>
      </c>
      <c r="D309" s="14">
        <f>data!BO71</f>
        <v>314131.3</v>
      </c>
      <c r="E309" s="14">
        <f>data!BP71</f>
        <v>0</v>
      </c>
      <c r="F309" s="14">
        <f>data!BQ71</f>
        <v>0</v>
      </c>
      <c r="G309" s="14">
        <f>data!BR71</f>
        <v>309515.07</v>
      </c>
      <c r="H309" s="14">
        <f>data!BS71</f>
        <v>0</v>
      </c>
      <c r="I309" s="14">
        <f>data!BT71</f>
        <v>0</v>
      </c>
    </row>
    <row r="310" spans="1:9" ht="20.149999999999999" customHeight="1" x14ac:dyDescent="0.3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49999999999999" customHeight="1" x14ac:dyDescent="0.3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49999999999999" customHeight="1" x14ac:dyDescent="0.3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49999999999999" customHeight="1" x14ac:dyDescent="0.3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49999999999999" customHeight="1" x14ac:dyDescent="0.3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49999999999999" customHeight="1" x14ac:dyDescent="0.3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49999999999999" customHeight="1" x14ac:dyDescent="0.35">
      <c r="A316" s="23">
        <v>22</v>
      </c>
      <c r="B316" s="14" t="s">
        <v>1186</v>
      </c>
      <c r="C316" s="85">
        <f>data!BN76</f>
        <v>701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323</v>
      </c>
      <c r="H316" s="85">
        <f>data!BS76</f>
        <v>0</v>
      </c>
      <c r="I316" s="85">
        <f>data!BT76</f>
        <v>0</v>
      </c>
    </row>
    <row r="317" spans="1:9" ht="20.149999999999999" customHeight="1" x14ac:dyDescent="0.3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49999999999999" customHeight="1" x14ac:dyDescent="0.3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49999999999999" customHeight="1" x14ac:dyDescent="0.3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49999999999999" customHeight="1" x14ac:dyDescent="0.3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49999999999999" customHeight="1" x14ac:dyDescent="0.3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49999999999999" customHeight="1" x14ac:dyDescent="0.3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49999999999999" customHeight="1" x14ac:dyDescent="0.3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49999999999999" customHeight="1" x14ac:dyDescent="0.35">
      <c r="A324" s="79" t="str">
        <f>"HOSPITAL NAME: "&amp;data!C84</f>
        <v>HOSPITAL NAME: Mid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12/31/2020</v>
      </c>
    </row>
    <row r="325" spans="1:9" ht="20.149999999999999" customHeight="1" x14ac:dyDescent="0.3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49999999999999" customHeight="1" x14ac:dyDescent="0.3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49999999999999" customHeight="1" x14ac:dyDescent="0.3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49999999999999" customHeight="1" x14ac:dyDescent="0.3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49999999999999" customHeight="1" x14ac:dyDescent="0.3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49999999999999" customHeight="1" x14ac:dyDescent="0.35">
      <c r="A330" s="23">
        <v>5</v>
      </c>
      <c r="B330" s="14" t="s">
        <v>234</v>
      </c>
      <c r="C330" s="26">
        <f>data!BU60</f>
        <v>0</v>
      </c>
      <c r="D330" s="26">
        <f>data!BV60</f>
        <v>7.85</v>
      </c>
      <c r="E330" s="26">
        <f>data!BW60</f>
        <v>0</v>
      </c>
      <c r="F330" s="26">
        <f>data!BX60</f>
        <v>1.1599999999999999</v>
      </c>
      <c r="G330" s="26">
        <f>data!BY60</f>
        <v>2.63</v>
      </c>
      <c r="H330" s="26">
        <f>data!BZ60</f>
        <v>0</v>
      </c>
      <c r="I330" s="26">
        <f>data!CA60</f>
        <v>0.04</v>
      </c>
    </row>
    <row r="331" spans="1:9" ht="20.149999999999999" customHeight="1" x14ac:dyDescent="0.35">
      <c r="A331" s="23">
        <v>6</v>
      </c>
      <c r="B331" s="14" t="s">
        <v>235</v>
      </c>
      <c r="C331" s="86">
        <f>data!BU61</f>
        <v>0</v>
      </c>
      <c r="D331" s="86">
        <f>data!BV61</f>
        <v>372786.57</v>
      </c>
      <c r="E331" s="86">
        <f>data!BW61</f>
        <v>0</v>
      </c>
      <c r="F331" s="86">
        <f>data!BX61</f>
        <v>82860.58</v>
      </c>
      <c r="G331" s="86">
        <f>data!BY61</f>
        <v>221742.59</v>
      </c>
      <c r="H331" s="86">
        <f>data!BZ61</f>
        <v>0</v>
      </c>
      <c r="I331" s="86">
        <f>data!CA61</f>
        <v>4146.26</v>
      </c>
    </row>
    <row r="332" spans="1:9" ht="20.149999999999999" customHeight="1" x14ac:dyDescent="0.35">
      <c r="A332" s="23">
        <v>7</v>
      </c>
      <c r="B332" s="14" t="s">
        <v>3</v>
      </c>
      <c r="C332" s="86">
        <f>data!BU62</f>
        <v>0</v>
      </c>
      <c r="D332" s="86">
        <f>data!BV62</f>
        <v>115125</v>
      </c>
      <c r="E332" s="86">
        <f>data!BW62</f>
        <v>0</v>
      </c>
      <c r="F332" s="86">
        <f>data!BX62</f>
        <v>21666</v>
      </c>
      <c r="G332" s="86">
        <f>data!BY62</f>
        <v>56063</v>
      </c>
      <c r="H332" s="86">
        <f>data!BZ62</f>
        <v>0</v>
      </c>
      <c r="I332" s="86">
        <f>data!CA62</f>
        <v>882</v>
      </c>
    </row>
    <row r="333" spans="1:9" ht="20.149999999999999" customHeight="1" x14ac:dyDescent="0.3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49999999999999" customHeight="1" x14ac:dyDescent="0.35">
      <c r="A334" s="23">
        <v>9</v>
      </c>
      <c r="B334" s="14" t="s">
        <v>237</v>
      </c>
      <c r="C334" s="86">
        <f>data!BU64</f>
        <v>0</v>
      </c>
      <c r="D334" s="86">
        <f>data!BV64</f>
        <v>283.45</v>
      </c>
      <c r="E334" s="86">
        <f>data!BW64</f>
        <v>0</v>
      </c>
      <c r="F334" s="86">
        <f>data!BX64</f>
        <v>0</v>
      </c>
      <c r="G334" s="86">
        <f>data!BY64</f>
        <v>268.04000000000002</v>
      </c>
      <c r="H334" s="86">
        <f>data!BZ64</f>
        <v>0</v>
      </c>
      <c r="I334" s="86">
        <f>data!CA64</f>
        <v>10866.58</v>
      </c>
    </row>
    <row r="335" spans="1:9" ht="20.149999999999999" customHeight="1" x14ac:dyDescent="0.3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49999999999999" customHeight="1" x14ac:dyDescent="0.35">
      <c r="A336" s="23">
        <v>11</v>
      </c>
      <c r="B336" s="14" t="s">
        <v>445</v>
      </c>
      <c r="C336" s="86">
        <f>data!BU66</f>
        <v>0</v>
      </c>
      <c r="D336" s="86">
        <f>data!BV66</f>
        <v>93927.1</v>
      </c>
      <c r="E336" s="86">
        <f>data!BW66</f>
        <v>0</v>
      </c>
      <c r="F336" s="86">
        <f>data!BX66</f>
        <v>1509.6</v>
      </c>
      <c r="G336" s="86">
        <f>data!BY66</f>
        <v>225</v>
      </c>
      <c r="H336" s="86">
        <f>data!BZ66</f>
        <v>0</v>
      </c>
      <c r="I336" s="86">
        <f>data!CA66</f>
        <v>59491.44</v>
      </c>
    </row>
    <row r="337" spans="1:9" ht="20.149999999999999" customHeight="1" x14ac:dyDescent="0.35">
      <c r="A337" s="23">
        <v>12</v>
      </c>
      <c r="B337" s="14" t="s">
        <v>6</v>
      </c>
      <c r="C337" s="86">
        <f>data!BU67</f>
        <v>0</v>
      </c>
      <c r="D337" s="86">
        <f>data!BV67</f>
        <v>16817</v>
      </c>
      <c r="E337" s="86">
        <f>data!BW67</f>
        <v>0</v>
      </c>
      <c r="F337" s="86">
        <f>data!BX67</f>
        <v>0</v>
      </c>
      <c r="G337" s="86">
        <f>data!BY67</f>
        <v>2883</v>
      </c>
      <c r="H337" s="86">
        <f>data!BZ67</f>
        <v>0</v>
      </c>
      <c r="I337" s="86">
        <f>data!CA67</f>
        <v>34911</v>
      </c>
    </row>
    <row r="338" spans="1:9" ht="20.149999999999999" customHeight="1" x14ac:dyDescent="0.35">
      <c r="A338" s="23">
        <v>13</v>
      </c>
      <c r="B338" s="14" t="s">
        <v>474</v>
      </c>
      <c r="C338" s="86">
        <f>data!BU68</f>
        <v>0</v>
      </c>
      <c r="D338" s="86">
        <f>data!BV68</f>
        <v>1159.68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49999999999999" customHeight="1" x14ac:dyDescent="0.35">
      <c r="A339" s="23">
        <v>14</v>
      </c>
      <c r="B339" s="14" t="s">
        <v>241</v>
      </c>
      <c r="C339" s="86">
        <f>data!BU69</f>
        <v>0</v>
      </c>
      <c r="D339" s="86">
        <f>data!BV69</f>
        <v>756.07</v>
      </c>
      <c r="E339" s="86">
        <f>data!BW69</f>
        <v>0</v>
      </c>
      <c r="F339" s="86">
        <f>data!BX69</f>
        <v>4664.83</v>
      </c>
      <c r="G339" s="86">
        <f>data!BY69</f>
        <v>677.07</v>
      </c>
      <c r="H339" s="86">
        <f>data!BZ69</f>
        <v>0</v>
      </c>
      <c r="I339" s="86">
        <f>data!CA69</f>
        <v>-254.53</v>
      </c>
    </row>
    <row r="340" spans="1:9" ht="20.149999999999999" customHeight="1" x14ac:dyDescent="0.35">
      <c r="A340" s="23">
        <v>15</v>
      </c>
      <c r="B340" s="14" t="s">
        <v>242</v>
      </c>
      <c r="C340" s="14">
        <f>-data!BU70</f>
        <v>0</v>
      </c>
      <c r="D340" s="14">
        <f>-data!BV70</f>
        <v>-13379.9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-250</v>
      </c>
    </row>
    <row r="341" spans="1:9" ht="20.149999999999999" customHeight="1" x14ac:dyDescent="0.35">
      <c r="A341" s="23">
        <v>16</v>
      </c>
      <c r="B341" s="48" t="s">
        <v>1180</v>
      </c>
      <c r="C341" s="14">
        <f>data!BU71</f>
        <v>0</v>
      </c>
      <c r="D341" s="14">
        <f>data!BV71</f>
        <v>587474.97</v>
      </c>
      <c r="E341" s="14">
        <f>data!BW71</f>
        <v>0</v>
      </c>
      <c r="F341" s="14">
        <f>data!BX71</f>
        <v>110701.01000000001</v>
      </c>
      <c r="G341" s="14">
        <f>data!BY71</f>
        <v>281858.69999999995</v>
      </c>
      <c r="H341" s="14">
        <f>data!BZ71</f>
        <v>0</v>
      </c>
      <c r="I341" s="14">
        <f>data!CA71</f>
        <v>109792.75</v>
      </c>
    </row>
    <row r="342" spans="1:9" ht="20.149999999999999" customHeight="1" x14ac:dyDescent="0.3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49999999999999" customHeight="1" x14ac:dyDescent="0.3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49999999999999" customHeight="1" x14ac:dyDescent="0.3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49999999999999" customHeight="1" x14ac:dyDescent="0.3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49999999999999" customHeight="1" x14ac:dyDescent="0.3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49999999999999" customHeight="1" x14ac:dyDescent="0.3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49999999999999" customHeight="1" x14ac:dyDescent="0.35">
      <c r="A348" s="23">
        <v>22</v>
      </c>
      <c r="B348" s="14" t="s">
        <v>1186</v>
      </c>
      <c r="C348" s="85">
        <f>data!BU76</f>
        <v>0</v>
      </c>
      <c r="D348" s="85">
        <f>data!BV76</f>
        <v>1508</v>
      </c>
      <c r="E348" s="85">
        <f>data!BW76</f>
        <v>0</v>
      </c>
      <c r="F348" s="85">
        <f>data!BX76</f>
        <v>0</v>
      </c>
      <c r="G348" s="85">
        <f>data!BY76</f>
        <v>265</v>
      </c>
      <c r="H348" s="85">
        <f>data!BZ76</f>
        <v>0</v>
      </c>
      <c r="I348" s="85">
        <f>data!CA76</f>
        <v>2838</v>
      </c>
    </row>
    <row r="349" spans="1:9" ht="20.149999999999999" customHeight="1" x14ac:dyDescent="0.3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49999999999999" customHeight="1" x14ac:dyDescent="0.3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49999999999999" customHeight="1" x14ac:dyDescent="0.3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49999999999999" customHeight="1" x14ac:dyDescent="0.3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49999999999999" customHeight="1" x14ac:dyDescent="0.3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49999999999999" customHeight="1" x14ac:dyDescent="0.3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49999999999999" customHeight="1" x14ac:dyDescent="0.3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49999999999999" customHeight="1" x14ac:dyDescent="0.35">
      <c r="A356" s="79" t="str">
        <f>"HOSPITAL NAME: "&amp;data!C84</f>
        <v>HOSPITAL NAME: Mid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12/31/2020</v>
      </c>
    </row>
    <row r="357" spans="1:9" ht="20.149999999999999" customHeight="1" x14ac:dyDescent="0.3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49999999999999" customHeight="1" x14ac:dyDescent="0.3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49999999999999" customHeight="1" x14ac:dyDescent="0.3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49999999999999" customHeight="1" x14ac:dyDescent="0.3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49999999999999" customHeight="1" x14ac:dyDescent="0.3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49999999999999" customHeight="1" x14ac:dyDescent="0.35">
      <c r="A362" s="23">
        <v>5</v>
      </c>
      <c r="B362" s="14" t="s">
        <v>234</v>
      </c>
      <c r="C362" s="26">
        <f>data!CB60</f>
        <v>0</v>
      </c>
      <c r="D362" s="26">
        <f>data!CC60</f>
        <v>0.1</v>
      </c>
      <c r="E362" s="217"/>
      <c r="F362" s="211"/>
      <c r="G362" s="211"/>
      <c r="H362" s="211"/>
      <c r="I362" s="87">
        <f>data!CE60</f>
        <v>217.35</v>
      </c>
    </row>
    <row r="363" spans="1:9" ht="20.149999999999999" customHeight="1" x14ac:dyDescent="0.35">
      <c r="A363" s="23">
        <v>6</v>
      </c>
      <c r="B363" s="14" t="s">
        <v>235</v>
      </c>
      <c r="C363" s="86">
        <f>data!CB61</f>
        <v>0</v>
      </c>
      <c r="D363" s="86">
        <f>data!CC61</f>
        <v>25380.57</v>
      </c>
      <c r="E363" s="218"/>
      <c r="F363" s="219"/>
      <c r="G363" s="219"/>
      <c r="H363" s="219"/>
      <c r="I363" s="86">
        <f>data!CE61</f>
        <v>16675860.270000001</v>
      </c>
    </row>
    <row r="364" spans="1:9" ht="20.149999999999999" customHeight="1" x14ac:dyDescent="0.35">
      <c r="A364" s="23">
        <v>7</v>
      </c>
      <c r="B364" s="14" t="s">
        <v>3</v>
      </c>
      <c r="C364" s="86">
        <f>data!CB62</f>
        <v>0</v>
      </c>
      <c r="D364" s="86">
        <f>data!CC62</f>
        <v>2198</v>
      </c>
      <c r="E364" s="218"/>
      <c r="F364" s="219"/>
      <c r="G364" s="219"/>
      <c r="H364" s="219"/>
      <c r="I364" s="86">
        <f>data!CE62</f>
        <v>3949924</v>
      </c>
    </row>
    <row r="365" spans="1:9" ht="20.149999999999999" customHeight="1" x14ac:dyDescent="0.3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4841609.6599999992</v>
      </c>
    </row>
    <row r="366" spans="1:9" ht="20.149999999999999" customHeight="1" x14ac:dyDescent="0.3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4925909.5200000023</v>
      </c>
    </row>
    <row r="367" spans="1:9" ht="20.149999999999999" customHeight="1" x14ac:dyDescent="0.3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454091.60000000003</v>
      </c>
    </row>
    <row r="368" spans="1:9" ht="20.149999999999999" customHeight="1" x14ac:dyDescent="0.3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2475830.4000000004</v>
      </c>
    </row>
    <row r="369" spans="1:9" ht="20.149999999999999" customHeight="1" x14ac:dyDescent="0.3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2031935</v>
      </c>
    </row>
    <row r="370" spans="1:9" ht="20.149999999999999" customHeight="1" x14ac:dyDescent="0.3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272473.89</v>
      </c>
    </row>
    <row r="371" spans="1:9" ht="20.149999999999999" customHeight="1" x14ac:dyDescent="0.35">
      <c r="A371" s="23">
        <v>14</v>
      </c>
      <c r="B371" s="14" t="s">
        <v>241</v>
      </c>
      <c r="C371" s="86">
        <f>data!CB69</f>
        <v>0</v>
      </c>
      <c r="D371" s="86">
        <f>data!CC69</f>
        <v>466.35</v>
      </c>
      <c r="E371" s="86">
        <f>data!CD69</f>
        <v>524601.13</v>
      </c>
      <c r="F371" s="219"/>
      <c r="G371" s="219"/>
      <c r="H371" s="219"/>
      <c r="I371" s="86">
        <f>data!CE69</f>
        <v>997830.45</v>
      </c>
    </row>
    <row r="372" spans="1:9" ht="20.149999999999999" customHeight="1" x14ac:dyDescent="0.3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172984.44</v>
      </c>
      <c r="F372" s="220"/>
      <c r="G372" s="220"/>
      <c r="H372" s="220"/>
      <c r="I372" s="14">
        <f>-data!CE70</f>
        <v>-964782.22</v>
      </c>
    </row>
    <row r="373" spans="1:9" ht="20.149999999999999" customHeight="1" x14ac:dyDescent="0.35">
      <c r="A373" s="23">
        <v>16</v>
      </c>
      <c r="B373" s="48" t="s">
        <v>1180</v>
      </c>
      <c r="C373" s="86">
        <f>data!CB71</f>
        <v>0</v>
      </c>
      <c r="D373" s="86">
        <f>data!CC71</f>
        <v>28044.92</v>
      </c>
      <c r="E373" s="86">
        <f>data!CD71</f>
        <v>351616.69</v>
      </c>
      <c r="F373" s="219"/>
      <c r="G373" s="219"/>
      <c r="H373" s="219"/>
      <c r="I373" s="14">
        <f>data!CE71</f>
        <v>35660682.570000015</v>
      </c>
    </row>
    <row r="374" spans="1:9" ht="20.149999999999999" customHeight="1" x14ac:dyDescent="0.3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-1045047.69</v>
      </c>
    </row>
    <row r="375" spans="1:9" ht="20.149999999999999" customHeight="1" x14ac:dyDescent="0.3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49999999999999" customHeight="1" x14ac:dyDescent="0.3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12360455.989999998</v>
      </c>
    </row>
    <row r="377" spans="1:9" ht="20.149999999999999" customHeight="1" x14ac:dyDescent="0.3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61808680.250000007</v>
      </c>
    </row>
    <row r="378" spans="1:9" ht="20.149999999999999" customHeight="1" x14ac:dyDescent="0.3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74169136.239999995</v>
      </c>
    </row>
    <row r="379" spans="1:9" ht="20.149999999999999" customHeight="1" x14ac:dyDescent="0.3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49999999999999" customHeight="1" x14ac:dyDescent="0.3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82579</v>
      </c>
    </row>
    <row r="381" spans="1:9" ht="20.149999999999999" customHeight="1" x14ac:dyDescent="0.3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8264</v>
      </c>
    </row>
    <row r="382" spans="1:9" ht="20.149999999999999" customHeight="1" x14ac:dyDescent="0.3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18969.63</v>
      </c>
    </row>
    <row r="383" spans="1:9" ht="20.149999999999999" customHeight="1" x14ac:dyDescent="0.3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172592.93999999997</v>
      </c>
    </row>
    <row r="384" spans="1:9" ht="20.149999999999999" customHeight="1" x14ac:dyDescent="0.3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47.639999999999993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2019 Data</vt:lpstr>
      <vt:lpstr>2018 Prior Year</vt:lpstr>
      <vt:lpstr>'2019 Data'!Costcenter</vt:lpstr>
      <vt:lpstr>Costcenter</vt:lpstr>
      <vt:lpstr>'2018 Prior Year'!Edit</vt:lpstr>
      <vt:lpstr>'2019 Data'!Edit</vt:lpstr>
      <vt:lpstr>Edit</vt:lpstr>
      <vt:lpstr>'2019 Data'!Funds</vt:lpstr>
      <vt:lpstr>Funds</vt:lpstr>
      <vt:lpstr>'2019 Data'!Hospital</vt:lpstr>
      <vt:lpstr>Hospital</vt:lpstr>
      <vt:lpstr>'2018 Prior Year'!Print_Area</vt:lpstr>
      <vt:lpstr>'2019 Data'!Print_Area</vt:lpstr>
      <vt:lpstr>'CC''s'!Print_Area</vt:lpstr>
      <vt:lpstr>data!Print_Area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'2019 Data'!Support</vt:lpstr>
      <vt:lpstr>Support</vt:lpstr>
    </vt:vector>
  </TitlesOfParts>
  <Manager>Randall.Huyck@DOH.WA.GOV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xxx Year End Report</dc:title>
  <dc:subject>2017 xxx Year End Report</dc:subject>
  <dc:creator>Washington State Dept of Health - HSQA - Community Health Systems</dc:creator>
  <cp:keywords>hospital financial reports</cp:keywords>
  <cp:lastModifiedBy>Baranowski, Carrie (DOH)</cp:lastModifiedBy>
  <cp:lastPrinted>2021-06-21T22:00:52Z</cp:lastPrinted>
  <dcterms:created xsi:type="dcterms:W3CDTF">1999-06-02T22:01:56Z</dcterms:created>
  <dcterms:modified xsi:type="dcterms:W3CDTF">2021-06-29T22:01:56Z</dcterms:modified>
</cp:coreProperties>
</file>