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F1F4CDA-2CC1-46D2-B83E-AD131673EFC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externalReferences>
    <externalReference r:id="rId11"/>
  </externalReference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" i="1" l="1"/>
  <c r="C184" i="1" l="1"/>
  <c r="D147" i="9" l="1"/>
  <c r="E147" i="9"/>
  <c r="D146" i="9"/>
  <c r="C146" i="9"/>
  <c r="C383" i="1" l="1"/>
  <c r="C325" i="1" l="1"/>
  <c r="C286" i="1" l="1"/>
  <c r="C228" i="1" l="1"/>
  <c r="D138" i="1" l="1"/>
  <c r="AV80" i="1" l="1"/>
  <c r="AR80" i="1"/>
  <c r="M80" i="1"/>
  <c r="CC76" i="1" l="1"/>
  <c r="AV74" i="1"/>
  <c r="M73" i="1"/>
  <c r="AV73" i="1"/>
  <c r="I75" i="1"/>
  <c r="H75" i="1"/>
  <c r="G75" i="1"/>
  <c r="F75" i="1"/>
  <c r="E75" i="1"/>
  <c r="D75" i="1"/>
  <c r="C75" i="1"/>
  <c r="AR70" i="1"/>
  <c r="CD69" i="1"/>
  <c r="AR69" i="1"/>
  <c r="M69" i="1"/>
  <c r="AR68" i="1"/>
  <c r="M68" i="1"/>
  <c r="CC66" i="1"/>
  <c r="AR66" i="1"/>
  <c r="M66" i="1"/>
  <c r="AR65" i="1" l="1"/>
  <c r="M65" i="1"/>
  <c r="CC64" i="1" l="1"/>
  <c r="AR64" i="1"/>
  <c r="M64" i="1"/>
  <c r="CC63" i="1"/>
  <c r="BR63" i="1"/>
  <c r="AR63" i="1"/>
  <c r="M63" i="1"/>
  <c r="BR61" i="1"/>
  <c r="CC61" i="1"/>
  <c r="AR61" i="1"/>
  <c r="M61" i="1"/>
  <c r="AR60" i="1"/>
  <c r="M60" i="1"/>
  <c r="BE51" i="1" l="1"/>
  <c r="M51" i="1"/>
  <c r="AR47" i="1"/>
  <c r="M47" i="1"/>
  <c r="CC47" i="1"/>
  <c r="BR47" i="1"/>
  <c r="O817" i="1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A813" i="11"/>
  <c r="T812" i="11"/>
  <c r="S812" i="11"/>
  <c r="R812" i="11"/>
  <c r="Q812" i="11"/>
  <c r="P812" i="11"/>
  <c r="M812" i="11"/>
  <c r="L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H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S779" i="11"/>
  <c r="R779" i="11"/>
  <c r="Q779" i="11"/>
  <c r="P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N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N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N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N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N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B549" i="11"/>
  <c r="B548" i="11"/>
  <c r="B547" i="11"/>
  <c r="E546" i="11"/>
  <c r="D546" i="11"/>
  <c r="B546" i="11"/>
  <c r="E545" i="11"/>
  <c r="D545" i="11"/>
  <c r="B545" i="11"/>
  <c r="E544" i="11"/>
  <c r="D544" i="11"/>
  <c r="B544" i="11"/>
  <c r="F544" i="11" s="1"/>
  <c r="B543" i="11"/>
  <c r="B542" i="11"/>
  <c r="B541" i="11"/>
  <c r="E540" i="11"/>
  <c r="D540" i="11"/>
  <c r="B540" i="11"/>
  <c r="F540" i="11" s="1"/>
  <c r="E539" i="11"/>
  <c r="D539" i="11"/>
  <c r="B539" i="11"/>
  <c r="F539" i="11" s="1"/>
  <c r="E538" i="11"/>
  <c r="D538" i="11"/>
  <c r="B538" i="11"/>
  <c r="F538" i="11" s="1"/>
  <c r="E537" i="11"/>
  <c r="D537" i="11"/>
  <c r="B537" i="11"/>
  <c r="E536" i="11"/>
  <c r="D536" i="11"/>
  <c r="B536" i="11"/>
  <c r="F536" i="11" s="1"/>
  <c r="E535" i="11"/>
  <c r="D535" i="11"/>
  <c r="B535" i="11"/>
  <c r="E534" i="11"/>
  <c r="D534" i="11"/>
  <c r="B534" i="11"/>
  <c r="F534" i="11" s="1"/>
  <c r="E533" i="11"/>
  <c r="D533" i="11"/>
  <c r="B533" i="11"/>
  <c r="H533" i="11" s="1"/>
  <c r="E532" i="11"/>
  <c r="D532" i="11"/>
  <c r="B532" i="11"/>
  <c r="F532" i="11" s="1"/>
  <c r="E531" i="11"/>
  <c r="D531" i="11"/>
  <c r="B531" i="11"/>
  <c r="F531" i="11" s="1"/>
  <c r="E530" i="11"/>
  <c r="D530" i="11"/>
  <c r="B530" i="11"/>
  <c r="F530" i="11" s="1"/>
  <c r="E529" i="11"/>
  <c r="D529" i="11"/>
  <c r="B529" i="11"/>
  <c r="E528" i="11"/>
  <c r="D528" i="11"/>
  <c r="B528" i="11"/>
  <c r="F528" i="11" s="1"/>
  <c r="E527" i="11"/>
  <c r="D527" i="11"/>
  <c r="B527" i="11"/>
  <c r="F527" i="11" s="1"/>
  <c r="E526" i="11"/>
  <c r="D526" i="11"/>
  <c r="B526" i="11"/>
  <c r="E525" i="11"/>
  <c r="D525" i="11"/>
  <c r="B525" i="11"/>
  <c r="H525" i="11" s="1"/>
  <c r="E524" i="11"/>
  <c r="D524" i="11"/>
  <c r="B524" i="11"/>
  <c r="E523" i="11"/>
  <c r="D523" i="11"/>
  <c r="B523" i="11"/>
  <c r="F523" i="11" s="1"/>
  <c r="E522" i="11"/>
  <c r="D522" i="11"/>
  <c r="B522" i="11"/>
  <c r="B521" i="11"/>
  <c r="F521" i="11" s="1"/>
  <c r="E520" i="11"/>
  <c r="D520" i="11"/>
  <c r="B520" i="11"/>
  <c r="E519" i="11"/>
  <c r="D519" i="11"/>
  <c r="B519" i="11"/>
  <c r="E518" i="11"/>
  <c r="D518" i="11"/>
  <c r="B518" i="11"/>
  <c r="E517" i="11"/>
  <c r="D517" i="11"/>
  <c r="B517" i="11"/>
  <c r="E516" i="11"/>
  <c r="D516" i="11"/>
  <c r="B516" i="11"/>
  <c r="E515" i="11"/>
  <c r="D515" i="11"/>
  <c r="B515" i="11"/>
  <c r="E514" i="11"/>
  <c r="D514" i="11"/>
  <c r="B514" i="11"/>
  <c r="B513" i="11"/>
  <c r="F513" i="11" s="1"/>
  <c r="B512" i="11"/>
  <c r="F512" i="11" s="1"/>
  <c r="E511" i="11"/>
  <c r="D511" i="11"/>
  <c r="B511" i="11"/>
  <c r="E510" i="11"/>
  <c r="D510" i="11"/>
  <c r="B510" i="11"/>
  <c r="E509" i="11"/>
  <c r="D509" i="11"/>
  <c r="B509" i="11"/>
  <c r="E508" i="11"/>
  <c r="D508" i="11"/>
  <c r="B508" i="11"/>
  <c r="E507" i="11"/>
  <c r="D507" i="11"/>
  <c r="B507" i="11"/>
  <c r="E506" i="11"/>
  <c r="D506" i="11"/>
  <c r="B506" i="11"/>
  <c r="E505" i="11"/>
  <c r="D505" i="11"/>
  <c r="B505" i="11"/>
  <c r="F505" i="11" s="1"/>
  <c r="E504" i="11"/>
  <c r="D504" i="11"/>
  <c r="B504" i="11"/>
  <c r="F504" i="11" s="1"/>
  <c r="E503" i="11"/>
  <c r="D503" i="11"/>
  <c r="B503" i="11"/>
  <c r="H503" i="11" s="1"/>
  <c r="E502" i="11"/>
  <c r="D502" i="11"/>
  <c r="B502" i="11"/>
  <c r="H502" i="11" s="1"/>
  <c r="E501" i="11"/>
  <c r="D501" i="11"/>
  <c r="B501" i="11"/>
  <c r="F501" i="11" s="1"/>
  <c r="E500" i="11"/>
  <c r="D500" i="11"/>
  <c r="B500" i="11"/>
  <c r="E499" i="11"/>
  <c r="D499" i="11"/>
  <c r="B499" i="11"/>
  <c r="H499" i="11" s="1"/>
  <c r="E498" i="11"/>
  <c r="D498" i="11"/>
  <c r="B498" i="11"/>
  <c r="E497" i="11"/>
  <c r="D497" i="11"/>
  <c r="B497" i="11"/>
  <c r="E496" i="11"/>
  <c r="D496" i="11"/>
  <c r="B496" i="11"/>
  <c r="G493" i="11"/>
  <c r="F493" i="11"/>
  <c r="E493" i="11"/>
  <c r="D493" i="11"/>
  <c r="C493" i="11"/>
  <c r="B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C439" i="11"/>
  <c r="B439" i="11"/>
  <c r="B438" i="11"/>
  <c r="B437" i="11"/>
  <c r="B436" i="11"/>
  <c r="B435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B441" i="11" s="1"/>
  <c r="D372" i="11"/>
  <c r="D367" i="11"/>
  <c r="C448" i="11" s="1"/>
  <c r="D361" i="11"/>
  <c r="N817" i="11" s="1"/>
  <c r="C332" i="11"/>
  <c r="BB730" i="11" s="1"/>
  <c r="D329" i="11"/>
  <c r="D328" i="11"/>
  <c r="D319" i="11"/>
  <c r="D314" i="11"/>
  <c r="D290" i="11"/>
  <c r="D283" i="11"/>
  <c r="D275" i="11"/>
  <c r="D265" i="11"/>
  <c r="D260" i="11"/>
  <c r="D240" i="11"/>
  <c r="B447" i="11" s="1"/>
  <c r="D236" i="11"/>
  <c r="B446" i="11" s="1"/>
  <c r="D229" i="11"/>
  <c r="B445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E140" i="11"/>
  <c r="D139" i="11"/>
  <c r="AI726" i="11" s="1"/>
  <c r="D138" i="11"/>
  <c r="E127" i="11"/>
  <c r="AV80" i="11"/>
  <c r="T779" i="11" s="1"/>
  <c r="CF79" i="11"/>
  <c r="CE79" i="11"/>
  <c r="S816" i="11" s="1"/>
  <c r="CE78" i="11"/>
  <c r="R816" i="11" s="1"/>
  <c r="CE77" i="11"/>
  <c r="CE76" i="1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L75" i="11"/>
  <c r="N743" i="11" s="1"/>
  <c r="K75" i="11"/>
  <c r="N742" i="11" s="1"/>
  <c r="J75" i="11"/>
  <c r="N741" i="11" s="1"/>
  <c r="I75" i="11"/>
  <c r="N740" i="11" s="1"/>
  <c r="H75" i="11"/>
  <c r="AV74" i="11"/>
  <c r="CE74" i="11" s="1"/>
  <c r="C464" i="11" s="1"/>
  <c r="AV73" i="11"/>
  <c r="O779" i="11" s="1"/>
  <c r="M73" i="11"/>
  <c r="CE70" i="11"/>
  <c r="CD69" i="11"/>
  <c r="CC68" i="11"/>
  <c r="K812" i="11" s="1"/>
  <c r="CC66" i="11"/>
  <c r="I812" i="11" s="1"/>
  <c r="BR66" i="11"/>
  <c r="I801" i="11" s="1"/>
  <c r="CC65" i="11"/>
  <c r="CC64" i="11"/>
  <c r="G812" i="11" s="1"/>
  <c r="BR64" i="11"/>
  <c r="G801" i="11" s="1"/>
  <c r="CC63" i="11"/>
  <c r="F812" i="11" s="1"/>
  <c r="BR63" i="11"/>
  <c r="F801" i="11" s="1"/>
  <c r="CC61" i="11"/>
  <c r="D812" i="11" s="1"/>
  <c r="BR61" i="11"/>
  <c r="CE60" i="11"/>
  <c r="B53" i="11"/>
  <c r="BE51" i="11"/>
  <c r="B49" i="11"/>
  <c r="CE47" i="11"/>
  <c r="F508" i="11" l="1"/>
  <c r="CE51" i="1"/>
  <c r="H539" i="11"/>
  <c r="H540" i="11"/>
  <c r="F550" i="11"/>
  <c r="F520" i="11"/>
  <c r="E217" i="11"/>
  <c r="C478" i="11" s="1"/>
  <c r="CE68" i="11"/>
  <c r="K816" i="11" s="1"/>
  <c r="CE63" i="11"/>
  <c r="C429" i="11" s="1"/>
  <c r="CF76" i="11"/>
  <c r="AK52" i="11" s="1"/>
  <c r="AK67" i="11" s="1"/>
  <c r="J768" i="11" s="1"/>
  <c r="B440" i="11"/>
  <c r="F518" i="11"/>
  <c r="H513" i="11"/>
  <c r="F509" i="11"/>
  <c r="F514" i="11"/>
  <c r="H501" i="11"/>
  <c r="H523" i="11"/>
  <c r="F497" i="11"/>
  <c r="F516" i="11"/>
  <c r="F524" i="11"/>
  <c r="H527" i="11"/>
  <c r="F545" i="11"/>
  <c r="C815" i="11"/>
  <c r="AV75" i="11"/>
  <c r="N779" i="11" s="1"/>
  <c r="D368" i="11"/>
  <c r="D373" i="11" s="1"/>
  <c r="D391" i="11" s="1"/>
  <c r="D393" i="11" s="1"/>
  <c r="D396" i="11" s="1"/>
  <c r="B465" i="11"/>
  <c r="F496" i="11"/>
  <c r="F500" i="11"/>
  <c r="H504" i="11"/>
  <c r="H505" i="11"/>
  <c r="F522" i="11"/>
  <c r="H531" i="11"/>
  <c r="H536" i="11"/>
  <c r="W52" i="11"/>
  <c r="W67" i="11" s="1"/>
  <c r="J754" i="11" s="1"/>
  <c r="E139" i="11"/>
  <c r="C415" i="11" s="1"/>
  <c r="D463" i="11"/>
  <c r="CE64" i="11"/>
  <c r="G816" i="11" s="1"/>
  <c r="B444" i="11"/>
  <c r="F517" i="11"/>
  <c r="F526" i="11"/>
  <c r="H544" i="11"/>
  <c r="J612" i="11"/>
  <c r="D801" i="11"/>
  <c r="D815" i="11" s="1"/>
  <c r="CE61" i="11"/>
  <c r="H812" i="11"/>
  <c r="H815" i="11" s="1"/>
  <c r="CE65" i="11"/>
  <c r="CE51" i="11"/>
  <c r="O744" i="11"/>
  <c r="O815" i="11" s="1"/>
  <c r="M75" i="11"/>
  <c r="N744" i="11" s="1"/>
  <c r="CE73" i="11"/>
  <c r="N739" i="11"/>
  <c r="AH726" i="11"/>
  <c r="E138" i="11"/>
  <c r="C414" i="11" s="1"/>
  <c r="D330" i="11"/>
  <c r="D339" i="11" s="1"/>
  <c r="C482" i="11" s="1"/>
  <c r="H528" i="11"/>
  <c r="H532" i="11"/>
  <c r="U813" i="11"/>
  <c r="U815" i="11" s="1"/>
  <c r="C615" i="11"/>
  <c r="C438" i="11"/>
  <c r="CD71" i="11"/>
  <c r="C575" i="11" s="1"/>
  <c r="E204" i="11"/>
  <c r="C476" i="11" s="1"/>
  <c r="BI730" i="11"/>
  <c r="C816" i="11"/>
  <c r="H612" i="11"/>
  <c r="CE66" i="11"/>
  <c r="CE69" i="11"/>
  <c r="Q816" i="11"/>
  <c r="G612" i="11"/>
  <c r="CF77" i="11"/>
  <c r="D435" i="11"/>
  <c r="D438" i="11"/>
  <c r="C473" i="11"/>
  <c r="F815" i="11"/>
  <c r="R815" i="11"/>
  <c r="M816" i="11"/>
  <c r="C458" i="11"/>
  <c r="B476" i="11"/>
  <c r="D277" i="11"/>
  <c r="D292" i="11" s="1"/>
  <c r="D341" i="11" s="1"/>
  <c r="C481" i="11" s="1"/>
  <c r="F498" i="11"/>
  <c r="F502" i="11"/>
  <c r="F506" i="11"/>
  <c r="F510" i="11"/>
  <c r="F525" i="11"/>
  <c r="F529" i="11"/>
  <c r="H530" i="11"/>
  <c r="F533" i="11"/>
  <c r="H534" i="11"/>
  <c r="F537" i="11"/>
  <c r="H538" i="11"/>
  <c r="P816" i="11"/>
  <c r="D612" i="11"/>
  <c r="CE80" i="11"/>
  <c r="D464" i="11"/>
  <c r="F515" i="11"/>
  <c r="F519" i="11"/>
  <c r="F535" i="11"/>
  <c r="F546" i="11"/>
  <c r="F499" i="11"/>
  <c r="F503" i="11"/>
  <c r="F507" i="11"/>
  <c r="F511" i="11"/>
  <c r="I612" i="11"/>
  <c r="D242" i="11"/>
  <c r="B448" i="11" s="1"/>
  <c r="P815" i="11"/>
  <c r="T815" i="11"/>
  <c r="G815" i="11"/>
  <c r="K815" i="11"/>
  <c r="S815" i="11"/>
  <c r="I815" i="11"/>
  <c r="M815" i="11"/>
  <c r="Q815" i="11"/>
  <c r="AD52" i="11" l="1"/>
  <c r="AD67" i="11" s="1"/>
  <c r="J761" i="11" s="1"/>
  <c r="D465" i="11"/>
  <c r="C434" i="11"/>
  <c r="CA52" i="11"/>
  <c r="CA67" i="11" s="1"/>
  <c r="J810" i="11" s="1"/>
  <c r="BV52" i="11"/>
  <c r="BV67" i="11" s="1"/>
  <c r="J805" i="11" s="1"/>
  <c r="AJ52" i="11"/>
  <c r="AJ67" i="11" s="1"/>
  <c r="J767" i="11" s="1"/>
  <c r="CC52" i="11"/>
  <c r="CC67" i="11" s="1"/>
  <c r="J812" i="11" s="1"/>
  <c r="AP52" i="11"/>
  <c r="AP67" i="11" s="1"/>
  <c r="J773" i="11" s="1"/>
  <c r="O52" i="11"/>
  <c r="O67" i="11" s="1"/>
  <c r="J746" i="11" s="1"/>
  <c r="AM52" i="11"/>
  <c r="AM67" i="11" s="1"/>
  <c r="J770" i="11" s="1"/>
  <c r="BI52" i="11"/>
  <c r="BI67" i="11" s="1"/>
  <c r="J792" i="11" s="1"/>
  <c r="BJ52" i="11"/>
  <c r="BJ67" i="11" s="1"/>
  <c r="J793" i="11" s="1"/>
  <c r="Z52" i="11"/>
  <c r="Z67" i="11" s="1"/>
  <c r="J757" i="11" s="1"/>
  <c r="BE52" i="11"/>
  <c r="BE67" i="11" s="1"/>
  <c r="J788" i="11" s="1"/>
  <c r="I52" i="11"/>
  <c r="I67" i="11" s="1"/>
  <c r="J740" i="11" s="1"/>
  <c r="BM52" i="11"/>
  <c r="BM67" i="11" s="1"/>
  <c r="J796" i="11" s="1"/>
  <c r="Q52" i="11"/>
  <c r="Q67" i="11" s="1"/>
  <c r="J748" i="11" s="1"/>
  <c r="AY52" i="11"/>
  <c r="AY67" i="11" s="1"/>
  <c r="J782" i="11" s="1"/>
  <c r="BF52" i="11"/>
  <c r="BF67" i="11" s="1"/>
  <c r="J789" i="11" s="1"/>
  <c r="J52" i="11"/>
  <c r="J67" i="11" s="1"/>
  <c r="J741" i="11" s="1"/>
  <c r="F816" i="11"/>
  <c r="AZ52" i="11"/>
  <c r="AZ67" i="11" s="1"/>
  <c r="J783" i="11" s="1"/>
  <c r="BH52" i="11"/>
  <c r="BH67" i="11" s="1"/>
  <c r="J791" i="11" s="1"/>
  <c r="X52" i="11"/>
  <c r="X67" i="11" s="1"/>
  <c r="J755" i="11" s="1"/>
  <c r="C430" i="11"/>
  <c r="AT52" i="11"/>
  <c r="AT67" i="11" s="1"/>
  <c r="J777" i="11" s="1"/>
  <c r="N52" i="11"/>
  <c r="N67" i="11" s="1"/>
  <c r="J745" i="11" s="1"/>
  <c r="BU52" i="11"/>
  <c r="BU67" i="11" s="1"/>
  <c r="J804" i="11" s="1"/>
  <c r="AE52" i="11"/>
  <c r="AE67" i="11" s="1"/>
  <c r="J762" i="11" s="1"/>
  <c r="AR52" i="11"/>
  <c r="AR67" i="11" s="1"/>
  <c r="J775" i="11" s="1"/>
  <c r="AC52" i="11"/>
  <c r="AC67" i="11" s="1"/>
  <c r="J760" i="11" s="1"/>
  <c r="F612" i="11"/>
  <c r="BN52" i="11"/>
  <c r="BN67" i="11" s="1"/>
  <c r="J797" i="11" s="1"/>
  <c r="AX52" i="11"/>
  <c r="AX67" i="11" s="1"/>
  <c r="J781" i="11" s="1"/>
  <c r="AH52" i="11"/>
  <c r="AH67" i="11" s="1"/>
  <c r="J765" i="11" s="1"/>
  <c r="R52" i="11"/>
  <c r="R67" i="11" s="1"/>
  <c r="J749" i="11" s="1"/>
  <c r="BK52" i="11"/>
  <c r="BK67" i="11" s="1"/>
  <c r="J794" i="11" s="1"/>
  <c r="AO52" i="11"/>
  <c r="AO67" i="11" s="1"/>
  <c r="J772" i="11" s="1"/>
  <c r="T52" i="11"/>
  <c r="T67" i="11" s="1"/>
  <c r="J751" i="11" s="1"/>
  <c r="BS52" i="11"/>
  <c r="BS67" i="11" s="1"/>
  <c r="J802" i="11" s="1"/>
  <c r="AW52" i="11"/>
  <c r="AW67" i="11" s="1"/>
  <c r="J780" i="11" s="1"/>
  <c r="AB52" i="11"/>
  <c r="AB67" i="11" s="1"/>
  <c r="J759" i="11" s="1"/>
  <c r="G52" i="11"/>
  <c r="G67" i="11" s="1"/>
  <c r="J738" i="11" s="1"/>
  <c r="BO52" i="11"/>
  <c r="BO67" i="11" s="1"/>
  <c r="J798" i="11" s="1"/>
  <c r="AN52" i="11"/>
  <c r="AN67" i="11" s="1"/>
  <c r="J771" i="11" s="1"/>
  <c r="C52" i="11"/>
  <c r="C67" i="11" s="1"/>
  <c r="J734" i="11" s="1"/>
  <c r="BR52" i="11"/>
  <c r="BR67" i="11" s="1"/>
  <c r="J801" i="11" s="1"/>
  <c r="BB52" i="11"/>
  <c r="BB67" i="11" s="1"/>
  <c r="J785" i="11" s="1"/>
  <c r="AL52" i="11"/>
  <c r="AL67" i="11" s="1"/>
  <c r="J769" i="11" s="1"/>
  <c r="V52" i="11"/>
  <c r="V67" i="11" s="1"/>
  <c r="J753" i="11" s="1"/>
  <c r="F52" i="11"/>
  <c r="F67" i="11" s="1"/>
  <c r="J737" i="11" s="1"/>
  <c r="BP52" i="11"/>
  <c r="BP67" i="11" s="1"/>
  <c r="J799" i="11" s="1"/>
  <c r="AU52" i="11"/>
  <c r="AU67" i="11" s="1"/>
  <c r="J778" i="11" s="1"/>
  <c r="Y52" i="11"/>
  <c r="Y67" i="11" s="1"/>
  <c r="J756" i="11" s="1"/>
  <c r="D52" i="11"/>
  <c r="D67" i="11" s="1"/>
  <c r="J735" i="11" s="1"/>
  <c r="BX52" i="11"/>
  <c r="BX67" i="11" s="1"/>
  <c r="J807" i="11" s="1"/>
  <c r="BC52" i="11"/>
  <c r="BC67" i="11" s="1"/>
  <c r="J786" i="11" s="1"/>
  <c r="AG52" i="11"/>
  <c r="AG67" i="11" s="1"/>
  <c r="J764" i="11" s="1"/>
  <c r="L52" i="11"/>
  <c r="L67" i="11" s="1"/>
  <c r="J743" i="11" s="1"/>
  <c r="BT52" i="11"/>
  <c r="BT67" i="11" s="1"/>
  <c r="J803" i="11" s="1"/>
  <c r="AS52" i="11"/>
  <c r="AS67" i="11" s="1"/>
  <c r="J776" i="11" s="1"/>
  <c r="M52" i="11"/>
  <c r="M67" i="11" s="1"/>
  <c r="J744" i="11" s="1"/>
  <c r="BD52" i="11"/>
  <c r="BD67" i="11" s="1"/>
  <c r="J787" i="11" s="1"/>
  <c r="AI52" i="11"/>
  <c r="AI67" i="11" s="1"/>
  <c r="J766" i="11" s="1"/>
  <c r="H52" i="11"/>
  <c r="H67" i="11" s="1"/>
  <c r="J739" i="11" s="1"/>
  <c r="CB52" i="11"/>
  <c r="CB67" i="11" s="1"/>
  <c r="J811" i="11" s="1"/>
  <c r="BG52" i="11"/>
  <c r="BG67" i="11" s="1"/>
  <c r="J790" i="11" s="1"/>
  <c r="L815" i="11"/>
  <c r="S52" i="11"/>
  <c r="S67" i="11" s="1"/>
  <c r="J750" i="11" s="1"/>
  <c r="N815" i="11"/>
  <c r="BZ52" i="11"/>
  <c r="BZ67" i="11" s="1"/>
  <c r="J809" i="11" s="1"/>
  <c r="BA52" i="11"/>
  <c r="BA67" i="11" s="1"/>
  <c r="J784" i="11" s="1"/>
  <c r="K52" i="11"/>
  <c r="K67" i="11" s="1"/>
  <c r="J742" i="11" s="1"/>
  <c r="AA52" i="11"/>
  <c r="AA67" i="11" s="1"/>
  <c r="J758" i="11" s="1"/>
  <c r="U52" i="11"/>
  <c r="U67" i="11" s="1"/>
  <c r="J752" i="11" s="1"/>
  <c r="BW52" i="11"/>
  <c r="BW67" i="11" s="1"/>
  <c r="J806" i="11" s="1"/>
  <c r="AF52" i="11"/>
  <c r="AF67" i="11" s="1"/>
  <c r="J763" i="11" s="1"/>
  <c r="AV52" i="11"/>
  <c r="AV67" i="11" s="1"/>
  <c r="J779" i="11" s="1"/>
  <c r="E52" i="11"/>
  <c r="E67" i="11" s="1"/>
  <c r="J736" i="11" s="1"/>
  <c r="BL52" i="11"/>
  <c r="BL67" i="11" s="1"/>
  <c r="J795" i="11" s="1"/>
  <c r="BQ52" i="11"/>
  <c r="BQ67" i="11" s="1"/>
  <c r="J800" i="11" s="1"/>
  <c r="AQ52" i="11"/>
  <c r="AQ67" i="11" s="1"/>
  <c r="J774" i="11" s="1"/>
  <c r="P52" i="11"/>
  <c r="P67" i="11" s="1"/>
  <c r="J747" i="11" s="1"/>
  <c r="BY52" i="11"/>
  <c r="BY67" i="11" s="1"/>
  <c r="J808" i="11" s="1"/>
  <c r="O816" i="11"/>
  <c r="C463" i="11"/>
  <c r="CE75" i="11"/>
  <c r="L816" i="11"/>
  <c r="C440" i="11"/>
  <c r="H816" i="11"/>
  <c r="C431" i="11"/>
  <c r="D816" i="11"/>
  <c r="C427" i="11"/>
  <c r="CA48" i="11"/>
  <c r="CA62" i="11" s="1"/>
  <c r="BW48" i="11"/>
  <c r="BW62" i="11" s="1"/>
  <c r="BS48" i="11"/>
  <c r="BS62" i="11" s="1"/>
  <c r="BO48" i="11"/>
  <c r="BO62" i="11" s="1"/>
  <c r="BK48" i="11"/>
  <c r="BK62" i="11" s="1"/>
  <c r="BG48" i="11"/>
  <c r="BG62" i="11" s="1"/>
  <c r="BC48" i="11"/>
  <c r="BC62" i="11" s="1"/>
  <c r="AY48" i="11"/>
  <c r="AY62" i="11" s="1"/>
  <c r="AU48" i="11"/>
  <c r="AU62" i="11" s="1"/>
  <c r="AQ48" i="11"/>
  <c r="AQ62" i="11" s="1"/>
  <c r="AM48" i="11"/>
  <c r="AM62" i="11" s="1"/>
  <c r="AI48" i="11"/>
  <c r="AI62" i="11" s="1"/>
  <c r="AE48" i="11"/>
  <c r="AE62" i="11" s="1"/>
  <c r="AA48" i="11"/>
  <c r="AA62" i="11" s="1"/>
  <c r="W48" i="11"/>
  <c r="W62" i="11" s="1"/>
  <c r="S48" i="11"/>
  <c r="S62" i="11" s="1"/>
  <c r="O48" i="11"/>
  <c r="O62" i="11" s="1"/>
  <c r="K48" i="11"/>
  <c r="K62" i="11" s="1"/>
  <c r="G48" i="11"/>
  <c r="G62" i="11" s="1"/>
  <c r="C48" i="11"/>
  <c r="AP48" i="11"/>
  <c r="AP62" i="11" s="1"/>
  <c r="AD48" i="11"/>
  <c r="AD62" i="11" s="1"/>
  <c r="R48" i="11"/>
  <c r="R62" i="11" s="1"/>
  <c r="J48" i="11"/>
  <c r="J62" i="11" s="1"/>
  <c r="BZ48" i="11"/>
  <c r="BZ62" i="11" s="1"/>
  <c r="BV48" i="11"/>
  <c r="BV62" i="11" s="1"/>
  <c r="BR48" i="11"/>
  <c r="BR62" i="11" s="1"/>
  <c r="BN48" i="11"/>
  <c r="BN62" i="11" s="1"/>
  <c r="BJ48" i="11"/>
  <c r="BJ62" i="11" s="1"/>
  <c r="BF48" i="11"/>
  <c r="BF62" i="11" s="1"/>
  <c r="BB48" i="11"/>
  <c r="BB62" i="11" s="1"/>
  <c r="AX48" i="11"/>
  <c r="AX62" i="11" s="1"/>
  <c r="AT48" i="11"/>
  <c r="AT62" i="11" s="1"/>
  <c r="AL48" i="11"/>
  <c r="AL62" i="11" s="1"/>
  <c r="AH48" i="11"/>
  <c r="AH62" i="11" s="1"/>
  <c r="V48" i="11"/>
  <c r="V62" i="11" s="1"/>
  <c r="F48" i="11"/>
  <c r="F62" i="11" s="1"/>
  <c r="CC48" i="11"/>
  <c r="CC62" i="11" s="1"/>
  <c r="BY48" i="11"/>
  <c r="BY62" i="11" s="1"/>
  <c r="BU48" i="11"/>
  <c r="BU62" i="11" s="1"/>
  <c r="BQ48" i="11"/>
  <c r="BQ62" i="11" s="1"/>
  <c r="BM48" i="11"/>
  <c r="BM62" i="11" s="1"/>
  <c r="BI48" i="11"/>
  <c r="BI62" i="11" s="1"/>
  <c r="BE48" i="11"/>
  <c r="BE62" i="11" s="1"/>
  <c r="BA48" i="11"/>
  <c r="BA62" i="11" s="1"/>
  <c r="AW48" i="11"/>
  <c r="AW62" i="11" s="1"/>
  <c r="AS48" i="11"/>
  <c r="AS62" i="11" s="1"/>
  <c r="AO48" i="11"/>
  <c r="AO62" i="11" s="1"/>
  <c r="AK48" i="11"/>
  <c r="AK62" i="11" s="1"/>
  <c r="AG48" i="11"/>
  <c r="AG62" i="11" s="1"/>
  <c r="AC48" i="11"/>
  <c r="AC62" i="11" s="1"/>
  <c r="Y48" i="11"/>
  <c r="Y62" i="11" s="1"/>
  <c r="U48" i="11"/>
  <c r="U62" i="11" s="1"/>
  <c r="Q48" i="11"/>
  <c r="Q62" i="11" s="1"/>
  <c r="M48" i="11"/>
  <c r="M62" i="11" s="1"/>
  <c r="I48" i="11"/>
  <c r="I62" i="11" s="1"/>
  <c r="E48" i="11"/>
  <c r="E62" i="11" s="1"/>
  <c r="CB48" i="11"/>
  <c r="CB62" i="11" s="1"/>
  <c r="BX48" i="11"/>
  <c r="BX62" i="11" s="1"/>
  <c r="BT48" i="11"/>
  <c r="BT62" i="11" s="1"/>
  <c r="BP48" i="11"/>
  <c r="BP62" i="11" s="1"/>
  <c r="BL48" i="11"/>
  <c r="BL62" i="11" s="1"/>
  <c r="BH48" i="11"/>
  <c r="BH62" i="11" s="1"/>
  <c r="BD48" i="11"/>
  <c r="BD62" i="11" s="1"/>
  <c r="AZ48" i="11"/>
  <c r="AZ62" i="11" s="1"/>
  <c r="AV48" i="11"/>
  <c r="AV62" i="11" s="1"/>
  <c r="AR48" i="11"/>
  <c r="AR62" i="11" s="1"/>
  <c r="AN48" i="11"/>
  <c r="AN62" i="11" s="1"/>
  <c r="AJ48" i="11"/>
  <c r="AJ62" i="11" s="1"/>
  <c r="AF48" i="11"/>
  <c r="AF62" i="11" s="1"/>
  <c r="AB48" i="11"/>
  <c r="AB62" i="11" s="1"/>
  <c r="X48" i="11"/>
  <c r="X62" i="11" s="1"/>
  <c r="T48" i="11"/>
  <c r="T62" i="11" s="1"/>
  <c r="P48" i="11"/>
  <c r="P62" i="11" s="1"/>
  <c r="L48" i="11"/>
  <c r="L62" i="11" s="1"/>
  <c r="H48" i="11"/>
  <c r="H62" i="11" s="1"/>
  <c r="D48" i="11"/>
  <c r="D62" i="11" s="1"/>
  <c r="Z48" i="11"/>
  <c r="Z62" i="11" s="1"/>
  <c r="N48" i="11"/>
  <c r="N62" i="11" s="1"/>
  <c r="T816" i="11"/>
  <c r="L612" i="11"/>
  <c r="I816" i="11"/>
  <c r="C432" i="11"/>
  <c r="J815" i="11" l="1"/>
  <c r="CE52" i="11"/>
  <c r="CE67" i="11"/>
  <c r="E795" i="11"/>
  <c r="BL71" i="11"/>
  <c r="E780" i="11"/>
  <c r="AW71" i="11"/>
  <c r="E755" i="11"/>
  <c r="X71" i="11"/>
  <c r="E771" i="11"/>
  <c r="AN71" i="11"/>
  <c r="E803" i="11"/>
  <c r="BT71" i="11"/>
  <c r="E756" i="11"/>
  <c r="Y71" i="11"/>
  <c r="E788" i="11"/>
  <c r="BE71" i="11"/>
  <c r="E804" i="11"/>
  <c r="BU71" i="11"/>
  <c r="E753" i="11"/>
  <c r="V71" i="11"/>
  <c r="E781" i="11"/>
  <c r="AX71" i="11"/>
  <c r="E797" i="11"/>
  <c r="BN71" i="11"/>
  <c r="C62" i="11"/>
  <c r="CE48" i="11"/>
  <c r="E750" i="11"/>
  <c r="S71" i="11"/>
  <c r="E766" i="11"/>
  <c r="AI71" i="11"/>
  <c r="E782" i="11"/>
  <c r="AY71" i="11"/>
  <c r="E798" i="11"/>
  <c r="BO71" i="11"/>
  <c r="E745" i="11"/>
  <c r="N71" i="11"/>
  <c r="E743" i="11"/>
  <c r="L71" i="11"/>
  <c r="E759" i="11"/>
  <c r="AB71" i="11"/>
  <c r="E775" i="11"/>
  <c r="AR71" i="11"/>
  <c r="E791" i="11"/>
  <c r="BH71" i="11"/>
  <c r="E807" i="11"/>
  <c r="BX71" i="11"/>
  <c r="E744" i="11"/>
  <c r="M71" i="11"/>
  <c r="E760" i="11"/>
  <c r="AC71" i="11"/>
  <c r="E776" i="11"/>
  <c r="AS71" i="11"/>
  <c r="E792" i="11"/>
  <c r="BI71" i="11"/>
  <c r="E808" i="11"/>
  <c r="BY71" i="11"/>
  <c r="E765" i="11"/>
  <c r="AH71" i="11"/>
  <c r="E785" i="11"/>
  <c r="BB71" i="11"/>
  <c r="E801" i="11"/>
  <c r="BR71" i="11"/>
  <c r="E749" i="11"/>
  <c r="R71" i="11"/>
  <c r="E738" i="11"/>
  <c r="G71" i="11"/>
  <c r="E754" i="11"/>
  <c r="W71" i="11"/>
  <c r="E770" i="11"/>
  <c r="AM71" i="11"/>
  <c r="E786" i="11"/>
  <c r="BC71" i="11"/>
  <c r="E802" i="11"/>
  <c r="BS71" i="11"/>
  <c r="E747" i="11"/>
  <c r="P71" i="11"/>
  <c r="E811" i="11"/>
  <c r="CB71" i="11"/>
  <c r="E812" i="11"/>
  <c r="CC71" i="11"/>
  <c r="E805" i="11"/>
  <c r="BV71" i="11"/>
  <c r="E742" i="11"/>
  <c r="K71" i="11"/>
  <c r="E806" i="11"/>
  <c r="BW71" i="11"/>
  <c r="E779" i="11"/>
  <c r="AV71" i="11"/>
  <c r="E748" i="11"/>
  <c r="Q71" i="11"/>
  <c r="E796" i="11"/>
  <c r="BM71" i="11"/>
  <c r="E769" i="11"/>
  <c r="AL71" i="11"/>
  <c r="E789" i="11"/>
  <c r="BF71" i="11"/>
  <c r="E761" i="11"/>
  <c r="AD71" i="11"/>
  <c r="E758" i="11"/>
  <c r="AA71" i="11"/>
  <c r="E774" i="11"/>
  <c r="AQ71" i="11"/>
  <c r="E790" i="11"/>
  <c r="BG71" i="11"/>
  <c r="E735" i="11"/>
  <c r="D71" i="11"/>
  <c r="E751" i="11"/>
  <c r="T71" i="11"/>
  <c r="E767" i="11"/>
  <c r="AJ71" i="11"/>
  <c r="E783" i="11"/>
  <c r="AZ71" i="11"/>
  <c r="E799" i="11"/>
  <c r="BP71" i="11"/>
  <c r="E736" i="11"/>
  <c r="E71" i="11"/>
  <c r="E752" i="11"/>
  <c r="U71" i="11"/>
  <c r="E768" i="11"/>
  <c r="AK71" i="11"/>
  <c r="E784" i="11"/>
  <c r="BA71" i="11"/>
  <c r="E800" i="11"/>
  <c r="BQ71" i="11"/>
  <c r="E737" i="11"/>
  <c r="F71" i="11"/>
  <c r="E777" i="11"/>
  <c r="AT71" i="11"/>
  <c r="E793" i="11"/>
  <c r="BJ71" i="11"/>
  <c r="E809" i="11"/>
  <c r="BZ71" i="11"/>
  <c r="E773" i="11"/>
  <c r="AP71" i="11"/>
  <c r="E746" i="11"/>
  <c r="O71" i="11"/>
  <c r="E762" i="11"/>
  <c r="AE71" i="11"/>
  <c r="E778" i="11"/>
  <c r="AU71" i="11"/>
  <c r="E794" i="11"/>
  <c r="BK71" i="11"/>
  <c r="E810" i="11"/>
  <c r="CA71" i="11"/>
  <c r="N816" i="11"/>
  <c r="K612" i="11"/>
  <c r="C465" i="11"/>
  <c r="E757" i="11"/>
  <c r="Z71" i="11"/>
  <c r="E763" i="11"/>
  <c r="AF71" i="11"/>
  <c r="E764" i="11"/>
  <c r="AG71" i="11"/>
  <c r="E739" i="11"/>
  <c r="H71" i="11"/>
  <c r="E787" i="11"/>
  <c r="BD71" i="11"/>
  <c r="E740" i="11"/>
  <c r="I71" i="11"/>
  <c r="E772" i="11"/>
  <c r="AO71" i="11"/>
  <c r="E741" i="11"/>
  <c r="J71" i="11"/>
  <c r="J816" i="11" l="1"/>
  <c r="C433" i="11"/>
  <c r="C680" i="11"/>
  <c r="C508" i="11"/>
  <c r="C623" i="11"/>
  <c r="C562" i="11"/>
  <c r="C685" i="11"/>
  <c r="C513" i="11"/>
  <c r="G513" i="11" s="1"/>
  <c r="C638" i="11"/>
  <c r="C558" i="11"/>
  <c r="C524" i="11"/>
  <c r="C696" i="11"/>
  <c r="C671" i="11"/>
  <c r="C499" i="11"/>
  <c r="G499" i="11" s="1"/>
  <c r="C706" i="11"/>
  <c r="C534" i="11"/>
  <c r="G534" i="11" s="1"/>
  <c r="C624" i="11"/>
  <c r="C549" i="11"/>
  <c r="C698" i="11"/>
  <c r="C526" i="11"/>
  <c r="C691" i="11"/>
  <c r="C519" i="11"/>
  <c r="C639" i="11"/>
  <c r="C564" i="11"/>
  <c r="C704" i="11"/>
  <c r="C532" i="11"/>
  <c r="G532" i="11" s="1"/>
  <c r="C672" i="11"/>
  <c r="C500" i="11"/>
  <c r="C563" i="11"/>
  <c r="C626" i="11"/>
  <c r="C699" i="11"/>
  <c r="C527" i="11"/>
  <c r="G527" i="11" s="1"/>
  <c r="C634" i="11"/>
  <c r="C554" i="11"/>
  <c r="C694" i="11"/>
  <c r="C522" i="11"/>
  <c r="C644" i="11"/>
  <c r="C569" i="11"/>
  <c r="C537" i="11"/>
  <c r="C709" i="11"/>
  <c r="C677" i="11"/>
  <c r="C505" i="11"/>
  <c r="G505" i="11" s="1"/>
  <c r="C627" i="11"/>
  <c r="C560" i="11"/>
  <c r="C700" i="11"/>
  <c r="C528" i="11"/>
  <c r="G528" i="11" s="1"/>
  <c r="C616" i="11"/>
  <c r="C543" i="11"/>
  <c r="C566" i="11"/>
  <c r="C641" i="11"/>
  <c r="C690" i="11"/>
  <c r="C518" i="11"/>
  <c r="C705" i="11"/>
  <c r="C533" i="11"/>
  <c r="G533" i="11" s="1"/>
  <c r="C631" i="11"/>
  <c r="C542" i="11"/>
  <c r="C628" i="11"/>
  <c r="C545" i="11"/>
  <c r="C681" i="11"/>
  <c r="C509" i="11"/>
  <c r="C712" i="11"/>
  <c r="C540" i="11"/>
  <c r="G540" i="11" s="1"/>
  <c r="C711" i="11"/>
  <c r="C539" i="11"/>
  <c r="G539" i="11" s="1"/>
  <c r="C498" i="11"/>
  <c r="C670" i="11"/>
  <c r="C692" i="11"/>
  <c r="C520" i="11"/>
  <c r="C713" i="11"/>
  <c r="C541" i="11"/>
  <c r="C620" i="11"/>
  <c r="C574" i="11"/>
  <c r="E734" i="11"/>
  <c r="E815" i="11" s="1"/>
  <c r="C71" i="11"/>
  <c r="CE62" i="11"/>
  <c r="C675" i="11"/>
  <c r="C503" i="11"/>
  <c r="G503" i="11" s="1"/>
  <c r="C674" i="11"/>
  <c r="C502" i="11"/>
  <c r="G502" i="11" s="1"/>
  <c r="C673" i="11"/>
  <c r="C501" i="11"/>
  <c r="G501" i="11" s="1"/>
  <c r="C697" i="11"/>
  <c r="C525" i="11"/>
  <c r="G525" i="11" s="1"/>
  <c r="C548" i="11"/>
  <c r="C633" i="11"/>
  <c r="C688" i="11"/>
  <c r="C516" i="11"/>
  <c r="C683" i="11"/>
  <c r="C511" i="11"/>
  <c r="C632" i="11"/>
  <c r="C547" i="11"/>
  <c r="C645" i="11"/>
  <c r="C570" i="11"/>
  <c r="C710" i="11"/>
  <c r="C538" i="11"/>
  <c r="G538" i="11" s="1"/>
  <c r="C506" i="11"/>
  <c r="C678" i="11"/>
  <c r="C636" i="11"/>
  <c r="C553" i="11"/>
  <c r="C693" i="11"/>
  <c r="C521" i="11"/>
  <c r="C679" i="11"/>
  <c r="C507" i="11"/>
  <c r="C625" i="11"/>
  <c r="C544" i="11"/>
  <c r="G544" i="11" s="1"/>
  <c r="C684" i="11"/>
  <c r="C512" i="11"/>
  <c r="C559" i="11"/>
  <c r="C619" i="11"/>
  <c r="C687" i="11"/>
  <c r="C515" i="11"/>
  <c r="C550" i="11"/>
  <c r="C614" i="11"/>
  <c r="C640" i="11"/>
  <c r="C565" i="11"/>
  <c r="C689" i="11"/>
  <c r="C517" i="11"/>
  <c r="C557" i="11"/>
  <c r="C637" i="11"/>
  <c r="C572" i="11"/>
  <c r="C647" i="11"/>
  <c r="C646" i="11"/>
  <c r="C571" i="11"/>
  <c r="C702" i="11"/>
  <c r="C530" i="11"/>
  <c r="G530" i="11" s="1"/>
  <c r="C618" i="11"/>
  <c r="C552" i="11"/>
  <c r="C629" i="11"/>
  <c r="C551" i="11"/>
  <c r="C676" i="11"/>
  <c r="C504" i="11"/>
  <c r="G504" i="11" s="1"/>
  <c r="C635" i="11"/>
  <c r="C556" i="11"/>
  <c r="C535" i="11"/>
  <c r="C707" i="11"/>
  <c r="C555" i="11"/>
  <c r="C617" i="11"/>
  <c r="C630" i="11"/>
  <c r="C546" i="11"/>
  <c r="C514" i="11"/>
  <c r="C686" i="11"/>
  <c r="C561" i="11"/>
  <c r="C621" i="11"/>
  <c r="C701" i="11"/>
  <c r="C529" i="11"/>
  <c r="C497" i="11"/>
  <c r="C669" i="11"/>
  <c r="C708" i="11"/>
  <c r="C536" i="11"/>
  <c r="G536" i="11" s="1"/>
  <c r="C695" i="11"/>
  <c r="C523" i="11"/>
  <c r="G523" i="11" s="1"/>
  <c r="C703" i="11"/>
  <c r="C531" i="11"/>
  <c r="G531" i="11" s="1"/>
  <c r="C682" i="11"/>
  <c r="C510" i="11"/>
  <c r="C643" i="11"/>
  <c r="C568" i="11"/>
  <c r="C642" i="11"/>
  <c r="C567" i="11"/>
  <c r="C622" i="11"/>
  <c r="C573" i="11"/>
  <c r="G546" i="11" l="1"/>
  <c r="H546" i="11"/>
  <c r="G515" i="11"/>
  <c r="H515" i="11"/>
  <c r="G512" i="11"/>
  <c r="H512" i="11"/>
  <c r="G507" i="11"/>
  <c r="H507" i="11"/>
  <c r="G516" i="11"/>
  <c r="H516" i="11" s="1"/>
  <c r="G497" i="11"/>
  <c r="H497" i="11" s="1"/>
  <c r="G535" i="11"/>
  <c r="H535" i="11" s="1"/>
  <c r="C668" i="11"/>
  <c r="C496" i="11"/>
  <c r="G545" i="11"/>
  <c r="H545" i="11" s="1"/>
  <c r="G519" i="11"/>
  <c r="H519" i="11" s="1"/>
  <c r="C715" i="11"/>
  <c r="C648" i="11"/>
  <c r="M716" i="11" s="1"/>
  <c r="Y816" i="11" s="1"/>
  <c r="D615" i="11"/>
  <c r="G521" i="11"/>
  <c r="H521" i="11"/>
  <c r="G511" i="11"/>
  <c r="H511" i="11" s="1"/>
  <c r="G498" i="11"/>
  <c r="H498" i="11" s="1"/>
  <c r="G514" i="11"/>
  <c r="H514" i="11" s="1"/>
  <c r="G550" i="11"/>
  <c r="H550" i="11" s="1"/>
  <c r="G506" i="11"/>
  <c r="H506" i="11" s="1"/>
  <c r="G520" i="11"/>
  <c r="H520" i="11" s="1"/>
  <c r="G509" i="11"/>
  <c r="H509" i="11" s="1"/>
  <c r="G518" i="11"/>
  <c r="H518" i="11" s="1"/>
  <c r="G522" i="11"/>
  <c r="H522" i="11" s="1"/>
  <c r="G500" i="11"/>
  <c r="H500" i="11" s="1"/>
  <c r="G526" i="11"/>
  <c r="H526" i="11" s="1"/>
  <c r="G508" i="11"/>
  <c r="H508" i="11" s="1"/>
  <c r="G529" i="11"/>
  <c r="H529" i="11" s="1"/>
  <c r="G517" i="11"/>
  <c r="H517" i="11" s="1"/>
  <c r="G510" i="11"/>
  <c r="H510" i="11" s="1"/>
  <c r="E816" i="11"/>
  <c r="C428" i="11"/>
  <c r="C441" i="11" s="1"/>
  <c r="CE71" i="11"/>
  <c r="C716" i="11" s="1"/>
  <c r="G537" i="11"/>
  <c r="H537" i="11"/>
  <c r="G524" i="11"/>
  <c r="H524" i="11" s="1"/>
  <c r="D716" i="11" l="1"/>
  <c r="D711" i="11"/>
  <c r="D707" i="11"/>
  <c r="D703" i="11"/>
  <c r="D699" i="11"/>
  <c r="D695" i="11"/>
  <c r="D712" i="11"/>
  <c r="D698" i="11"/>
  <c r="D697" i="11"/>
  <c r="D696" i="11"/>
  <c r="D689" i="11"/>
  <c r="D685" i="11"/>
  <c r="D681" i="11"/>
  <c r="D677" i="11"/>
  <c r="D673" i="11"/>
  <c r="D669" i="11"/>
  <c r="D627" i="11"/>
  <c r="D710" i="11"/>
  <c r="D708" i="11"/>
  <c r="D701" i="11"/>
  <c r="D680" i="11"/>
  <c r="D679" i="11"/>
  <c r="D678" i="11"/>
  <c r="D706" i="11"/>
  <c r="D704" i="11"/>
  <c r="D693" i="11"/>
  <c r="D692" i="11"/>
  <c r="D691" i="11"/>
  <c r="D690" i="11"/>
  <c r="D713" i="11"/>
  <c r="D709" i="11"/>
  <c r="D702" i="11"/>
  <c r="D700" i="11"/>
  <c r="D688" i="11"/>
  <c r="D687" i="11"/>
  <c r="D686" i="11"/>
  <c r="D672" i="11"/>
  <c r="D671" i="11"/>
  <c r="D670" i="11"/>
  <c r="D647" i="11"/>
  <c r="D645" i="11"/>
  <c r="D629" i="11"/>
  <c r="D626" i="11"/>
  <c r="D625" i="11"/>
  <c r="D684" i="11"/>
  <c r="D683" i="11"/>
  <c r="D682" i="11"/>
  <c r="D638" i="11"/>
  <c r="D637" i="11"/>
  <c r="D630" i="11"/>
  <c r="D620" i="11"/>
  <c r="D617" i="11"/>
  <c r="D705" i="11"/>
  <c r="D676" i="11"/>
  <c r="D675" i="11"/>
  <c r="D674" i="11"/>
  <c r="D668" i="11"/>
  <c r="D644" i="11"/>
  <c r="D643" i="11"/>
  <c r="D636" i="11"/>
  <c r="D635" i="11"/>
  <c r="D622" i="11"/>
  <c r="D619" i="11"/>
  <c r="D694" i="11"/>
  <c r="D642" i="11"/>
  <c r="D641" i="11"/>
  <c r="D634" i="11"/>
  <c r="D633" i="11"/>
  <c r="D624" i="11"/>
  <c r="D621" i="11"/>
  <c r="D616" i="11"/>
  <c r="D640" i="11"/>
  <c r="D623" i="11"/>
  <c r="D646" i="11"/>
  <c r="D639" i="11"/>
  <c r="D632" i="11"/>
  <c r="D628" i="11"/>
  <c r="D631" i="11"/>
  <c r="D618" i="11"/>
  <c r="G496" i="11"/>
  <c r="H496" i="11" s="1"/>
  <c r="D715" i="11" l="1"/>
  <c r="E623" i="11"/>
  <c r="E612" i="11"/>
  <c r="E712" i="11" l="1"/>
  <c r="E708" i="11"/>
  <c r="E704" i="11"/>
  <c r="E700" i="11"/>
  <c r="E696" i="11"/>
  <c r="E713" i="11"/>
  <c r="E711" i="11"/>
  <c r="E710" i="11"/>
  <c r="E709" i="11"/>
  <c r="E695" i="11"/>
  <c r="E694" i="11"/>
  <c r="E693" i="11"/>
  <c r="E690" i="11"/>
  <c r="E686" i="11"/>
  <c r="E682" i="11"/>
  <c r="E678" i="11"/>
  <c r="E674" i="11"/>
  <c r="E670" i="11"/>
  <c r="E647" i="11"/>
  <c r="E646" i="11"/>
  <c r="E645" i="11"/>
  <c r="E629" i="11"/>
  <c r="E626" i="11"/>
  <c r="E706" i="11"/>
  <c r="E699" i="11"/>
  <c r="E697" i="11"/>
  <c r="E692" i="11"/>
  <c r="E691" i="11"/>
  <c r="E677" i="11"/>
  <c r="E676" i="11"/>
  <c r="E675" i="11"/>
  <c r="E702" i="11"/>
  <c r="E689" i="11"/>
  <c r="E688" i="11"/>
  <c r="E687" i="11"/>
  <c r="E716" i="11"/>
  <c r="E707" i="11"/>
  <c r="E705" i="11"/>
  <c r="E698" i="11"/>
  <c r="E685" i="11"/>
  <c r="E684" i="11"/>
  <c r="E683" i="11"/>
  <c r="E669" i="11"/>
  <c r="E668" i="11"/>
  <c r="E643" i="11"/>
  <c r="E641" i="11"/>
  <c r="E639" i="11"/>
  <c r="E637" i="11"/>
  <c r="E635" i="11"/>
  <c r="E633" i="11"/>
  <c r="E631" i="11"/>
  <c r="E628" i="11"/>
  <c r="E627" i="11"/>
  <c r="E703" i="11"/>
  <c r="E681" i="11"/>
  <c r="E680" i="11"/>
  <c r="E679" i="11"/>
  <c r="E644" i="11"/>
  <c r="E636" i="11"/>
  <c r="E673" i="11"/>
  <c r="E672" i="11"/>
  <c r="E671" i="11"/>
  <c r="E642" i="11"/>
  <c r="E634" i="11"/>
  <c r="E624" i="11"/>
  <c r="E640" i="11"/>
  <c r="E632" i="11"/>
  <c r="E701" i="11"/>
  <c r="E638" i="11"/>
  <c r="E630" i="11"/>
  <c r="E625" i="11"/>
  <c r="E715" i="11" l="1"/>
  <c r="F624" i="11"/>
  <c r="F716" i="11" l="1"/>
  <c r="F713" i="11"/>
  <c r="F709" i="11"/>
  <c r="F705" i="11"/>
  <c r="F701" i="11"/>
  <c r="F697" i="11"/>
  <c r="F693" i="11"/>
  <c r="F708" i="11"/>
  <c r="F707" i="11"/>
  <c r="F706" i="11"/>
  <c r="F691" i="11"/>
  <c r="F687" i="11"/>
  <c r="F683" i="11"/>
  <c r="F679" i="11"/>
  <c r="F675" i="11"/>
  <c r="F671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5" i="11"/>
  <c r="F704" i="11"/>
  <c r="F702" i="11"/>
  <c r="F695" i="11"/>
  <c r="F690" i="11"/>
  <c r="F689" i="11"/>
  <c r="F688" i="11"/>
  <c r="F674" i="11"/>
  <c r="F673" i="11"/>
  <c r="F672" i="11"/>
  <c r="F711" i="11"/>
  <c r="F700" i="11"/>
  <c r="F698" i="11"/>
  <c r="F686" i="11"/>
  <c r="F685" i="11"/>
  <c r="F703" i="11"/>
  <c r="F696" i="11"/>
  <c r="F694" i="11"/>
  <c r="F682" i="11"/>
  <c r="F681" i="11"/>
  <c r="F680" i="11"/>
  <c r="F678" i="11"/>
  <c r="F677" i="11"/>
  <c r="F676" i="11"/>
  <c r="F668" i="11"/>
  <c r="F626" i="11"/>
  <c r="F710" i="11"/>
  <c r="F692" i="11"/>
  <c r="F670" i="11"/>
  <c r="F627" i="11"/>
  <c r="F712" i="11"/>
  <c r="F699" i="11"/>
  <c r="F669" i="11"/>
  <c r="F647" i="11"/>
  <c r="F646" i="11"/>
  <c r="F628" i="11"/>
  <c r="F629" i="11"/>
  <c r="F684" i="11"/>
  <c r="F645" i="11"/>
  <c r="F715" i="11" l="1"/>
  <c r="G625" i="11"/>
  <c r="G716" i="11" l="1"/>
  <c r="G710" i="11"/>
  <c r="G706" i="11"/>
  <c r="G702" i="11"/>
  <c r="G698" i="11"/>
  <c r="G694" i="11"/>
  <c r="G705" i="11"/>
  <c r="G704" i="11"/>
  <c r="G703" i="11"/>
  <c r="G692" i="11"/>
  <c r="G688" i="11"/>
  <c r="G684" i="11"/>
  <c r="G680" i="11"/>
  <c r="G676" i="11"/>
  <c r="G672" i="11"/>
  <c r="G668" i="11"/>
  <c r="G628" i="11"/>
  <c r="G711" i="11"/>
  <c r="G700" i="11"/>
  <c r="G693" i="11"/>
  <c r="G687" i="11"/>
  <c r="G686" i="11"/>
  <c r="G685" i="11"/>
  <c r="G671" i="11"/>
  <c r="G670" i="11"/>
  <c r="G713" i="11"/>
  <c r="G709" i="11"/>
  <c r="G707" i="11"/>
  <c r="G696" i="11"/>
  <c r="G712" i="11"/>
  <c r="G701" i="11"/>
  <c r="G699" i="11"/>
  <c r="G679" i="11"/>
  <c r="G678" i="11"/>
  <c r="G677" i="11"/>
  <c r="G646" i="11"/>
  <c r="G708" i="11"/>
  <c r="G695" i="11"/>
  <c r="G675" i="11"/>
  <c r="G674" i="11"/>
  <c r="G673" i="11"/>
  <c r="G643" i="11"/>
  <c r="G642" i="11"/>
  <c r="G635" i="11"/>
  <c r="G634" i="11"/>
  <c r="G627" i="11"/>
  <c r="G697" i="11"/>
  <c r="G690" i="11"/>
  <c r="G669" i="11"/>
  <c r="G647" i="11"/>
  <c r="G641" i="11"/>
  <c r="G640" i="11"/>
  <c r="G633" i="11"/>
  <c r="G632" i="11"/>
  <c r="G645" i="11"/>
  <c r="G639" i="11"/>
  <c r="G638" i="11"/>
  <c r="G631" i="11"/>
  <c r="G630" i="11"/>
  <c r="G629" i="11"/>
  <c r="G681" i="11"/>
  <c r="G636" i="11"/>
  <c r="G691" i="11"/>
  <c r="G689" i="11"/>
  <c r="G683" i="11"/>
  <c r="G626" i="11"/>
  <c r="G682" i="11"/>
  <c r="G644" i="11"/>
  <c r="G637" i="11"/>
  <c r="G715" i="11" l="1"/>
  <c r="H628" i="11"/>
  <c r="H716" i="11" l="1"/>
  <c r="H713" i="11"/>
  <c r="H711" i="11"/>
  <c r="H707" i="11"/>
  <c r="H703" i="11"/>
  <c r="H699" i="11"/>
  <c r="H695" i="11"/>
  <c r="H702" i="11"/>
  <c r="H701" i="11"/>
  <c r="H700" i="11"/>
  <c r="H689" i="11"/>
  <c r="H685" i="11"/>
  <c r="H681" i="11"/>
  <c r="H677" i="11"/>
  <c r="H673" i="11"/>
  <c r="H669" i="11"/>
  <c r="H709" i="11"/>
  <c r="H698" i="11"/>
  <c r="H696" i="11"/>
  <c r="H684" i="11"/>
  <c r="H683" i="11"/>
  <c r="H682" i="11"/>
  <c r="H712" i="11"/>
  <c r="H705" i="11"/>
  <c r="H694" i="11"/>
  <c r="H710" i="11"/>
  <c r="H708" i="11"/>
  <c r="H697" i="11"/>
  <c r="H692" i="11"/>
  <c r="H691" i="11"/>
  <c r="H690" i="11"/>
  <c r="H676" i="11"/>
  <c r="H675" i="11"/>
  <c r="H674" i="11"/>
  <c r="H644" i="11"/>
  <c r="H642" i="11"/>
  <c r="H640" i="11"/>
  <c r="H638" i="11"/>
  <c r="H636" i="11"/>
  <c r="H634" i="11"/>
  <c r="H632" i="11"/>
  <c r="H630" i="11"/>
  <c r="H672" i="11"/>
  <c r="H671" i="11"/>
  <c r="H670" i="11"/>
  <c r="H647" i="11"/>
  <c r="H641" i="11"/>
  <c r="H633" i="11"/>
  <c r="H688" i="11"/>
  <c r="H686" i="11"/>
  <c r="H646" i="11"/>
  <c r="H645" i="11"/>
  <c r="H639" i="11"/>
  <c r="H631" i="11"/>
  <c r="H629" i="11"/>
  <c r="H704" i="11"/>
  <c r="H637" i="11"/>
  <c r="H693" i="11"/>
  <c r="H643" i="11"/>
  <c r="H680" i="11"/>
  <c r="H635" i="11"/>
  <c r="H679" i="11"/>
  <c r="H668" i="11"/>
  <c r="H706" i="11"/>
  <c r="H687" i="11"/>
  <c r="H678" i="11"/>
  <c r="H715" i="11" l="1"/>
  <c r="I629" i="11"/>
  <c r="I712" i="11" l="1"/>
  <c r="I708" i="11"/>
  <c r="I704" i="11"/>
  <c r="I700" i="11"/>
  <c r="I696" i="11"/>
  <c r="I699" i="11"/>
  <c r="I698" i="11"/>
  <c r="I697" i="11"/>
  <c r="I690" i="11"/>
  <c r="I686" i="11"/>
  <c r="I682" i="11"/>
  <c r="I678" i="11"/>
  <c r="I674" i="11"/>
  <c r="I670" i="11"/>
  <c r="I647" i="11"/>
  <c r="I646" i="11"/>
  <c r="I645" i="11"/>
  <c r="I713" i="11"/>
  <c r="I707" i="11"/>
  <c r="I705" i="11"/>
  <c r="I694" i="11"/>
  <c r="I681" i="11"/>
  <c r="I680" i="11"/>
  <c r="I679" i="11"/>
  <c r="I716" i="11"/>
  <c r="I710" i="11"/>
  <c r="I703" i="11"/>
  <c r="I701" i="11"/>
  <c r="I692" i="11"/>
  <c r="I691" i="11"/>
  <c r="I706" i="11"/>
  <c r="I695" i="11"/>
  <c r="I693" i="11"/>
  <c r="I689" i="11"/>
  <c r="I688" i="11"/>
  <c r="I687" i="11"/>
  <c r="I673" i="11"/>
  <c r="I672" i="11"/>
  <c r="I671" i="11"/>
  <c r="I669" i="11"/>
  <c r="I640" i="11"/>
  <c r="I639" i="11"/>
  <c r="I632" i="11"/>
  <c r="I631" i="11"/>
  <c r="I702" i="11"/>
  <c r="I638" i="11"/>
  <c r="I637" i="11"/>
  <c r="I630" i="11"/>
  <c r="I709" i="11"/>
  <c r="I684" i="11"/>
  <c r="I683" i="11"/>
  <c r="I668" i="11"/>
  <c r="I644" i="11"/>
  <c r="I643" i="11"/>
  <c r="I636" i="11"/>
  <c r="I635" i="11"/>
  <c r="I685" i="11"/>
  <c r="I677" i="11"/>
  <c r="I711" i="11"/>
  <c r="I676" i="11"/>
  <c r="I642" i="11"/>
  <c r="I675" i="11"/>
  <c r="I641" i="11"/>
  <c r="I634" i="11"/>
  <c r="I633" i="11"/>
  <c r="I715" i="11" l="1"/>
  <c r="J630" i="11"/>
  <c r="J716" i="11" l="1"/>
  <c r="J713" i="11"/>
  <c r="J709" i="11"/>
  <c r="J705" i="11"/>
  <c r="J701" i="11"/>
  <c r="J697" i="11"/>
  <c r="J693" i="11"/>
  <c r="J712" i="11"/>
  <c r="J711" i="11"/>
  <c r="J710" i="11"/>
  <c r="J696" i="11"/>
  <c r="J695" i="11"/>
  <c r="J694" i="11"/>
  <c r="J691" i="11"/>
  <c r="J687" i="11"/>
  <c r="J683" i="11"/>
  <c r="J679" i="11"/>
  <c r="J675" i="11"/>
  <c r="J671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703" i="11"/>
  <c r="J692" i="11"/>
  <c r="J678" i="11"/>
  <c r="J677" i="11"/>
  <c r="J676" i="11"/>
  <c r="J708" i="11"/>
  <c r="J706" i="11"/>
  <c r="J699" i="11"/>
  <c r="J690" i="11"/>
  <c r="J689" i="11"/>
  <c r="J688" i="11"/>
  <c r="J704" i="11"/>
  <c r="J702" i="11"/>
  <c r="J686" i="11"/>
  <c r="J685" i="11"/>
  <c r="J684" i="11"/>
  <c r="J670" i="11"/>
  <c r="J669" i="11"/>
  <c r="J668" i="11"/>
  <c r="J647" i="11"/>
  <c r="J645" i="11"/>
  <c r="J700" i="11"/>
  <c r="J646" i="11"/>
  <c r="J707" i="11"/>
  <c r="J682" i="11"/>
  <c r="J681" i="11"/>
  <c r="J680" i="11"/>
  <c r="J673" i="11"/>
  <c r="J672" i="11"/>
  <c r="J698" i="11"/>
  <c r="J674" i="11"/>
  <c r="K644" i="11" l="1"/>
  <c r="L647" i="11"/>
  <c r="J715" i="11"/>
  <c r="L716" i="11" l="1"/>
  <c r="L711" i="11"/>
  <c r="L707" i="11"/>
  <c r="L703" i="11"/>
  <c r="L699" i="11"/>
  <c r="L695" i="11"/>
  <c r="L713" i="11"/>
  <c r="L706" i="11"/>
  <c r="L705" i="11"/>
  <c r="L704" i="11"/>
  <c r="L689" i="11"/>
  <c r="L685" i="11"/>
  <c r="L681" i="11"/>
  <c r="L677" i="11"/>
  <c r="L673" i="11"/>
  <c r="L669" i="11"/>
  <c r="L710" i="11"/>
  <c r="L708" i="11"/>
  <c r="L697" i="11"/>
  <c r="L688" i="11"/>
  <c r="L687" i="11"/>
  <c r="L686" i="11"/>
  <c r="L672" i="11"/>
  <c r="L671" i="11"/>
  <c r="L670" i="11"/>
  <c r="L702" i="11"/>
  <c r="L700" i="11"/>
  <c r="L693" i="11"/>
  <c r="L709" i="11"/>
  <c r="L698" i="11"/>
  <c r="L696" i="11"/>
  <c r="L680" i="11"/>
  <c r="L679" i="11"/>
  <c r="L678" i="11"/>
  <c r="L692" i="11"/>
  <c r="L690" i="11"/>
  <c r="L712" i="11"/>
  <c r="L694" i="11"/>
  <c r="L684" i="11"/>
  <c r="L683" i="11"/>
  <c r="L682" i="11"/>
  <c r="L668" i="11"/>
  <c r="L701" i="11"/>
  <c r="L691" i="11"/>
  <c r="L676" i="11"/>
  <c r="L675" i="11"/>
  <c r="L674" i="11"/>
  <c r="K710" i="11"/>
  <c r="K706" i="11"/>
  <c r="K702" i="11"/>
  <c r="K698" i="11"/>
  <c r="K694" i="11"/>
  <c r="K716" i="11"/>
  <c r="K709" i="11"/>
  <c r="K708" i="11"/>
  <c r="K707" i="11"/>
  <c r="K693" i="11"/>
  <c r="K692" i="11"/>
  <c r="K688" i="11"/>
  <c r="K684" i="11"/>
  <c r="K680" i="11"/>
  <c r="K676" i="11"/>
  <c r="K672" i="11"/>
  <c r="K668" i="11"/>
  <c r="K712" i="11"/>
  <c r="K701" i="11"/>
  <c r="K699" i="11"/>
  <c r="K691" i="11"/>
  <c r="K690" i="11"/>
  <c r="K689" i="11"/>
  <c r="K675" i="11"/>
  <c r="K674" i="11"/>
  <c r="K673" i="11"/>
  <c r="K704" i="11"/>
  <c r="K697" i="11"/>
  <c r="K695" i="11"/>
  <c r="K687" i="11"/>
  <c r="K686" i="11"/>
  <c r="K685" i="11"/>
  <c r="K711" i="11"/>
  <c r="K700" i="11"/>
  <c r="K683" i="11"/>
  <c r="K682" i="11"/>
  <c r="K681" i="11"/>
  <c r="K713" i="11"/>
  <c r="K705" i="11"/>
  <c r="K696" i="11"/>
  <c r="K679" i="11"/>
  <c r="K678" i="11"/>
  <c r="K677" i="11"/>
  <c r="K703" i="11"/>
  <c r="K669" i="11"/>
  <c r="K671" i="11"/>
  <c r="K670" i="11"/>
  <c r="M690" i="11" l="1"/>
  <c r="Y756" i="11" s="1"/>
  <c r="M693" i="11"/>
  <c r="Y759" i="11" s="1"/>
  <c r="M706" i="11"/>
  <c r="Y772" i="11" s="1"/>
  <c r="M680" i="11"/>
  <c r="Y746" i="11" s="1"/>
  <c r="M671" i="11"/>
  <c r="Y737" i="11" s="1"/>
  <c r="M678" i="11"/>
  <c r="Y744" i="11" s="1"/>
  <c r="M675" i="11"/>
  <c r="Y741" i="11" s="1"/>
  <c r="M694" i="11"/>
  <c r="Y760" i="11" s="1"/>
  <c r="M698" i="11"/>
  <c r="Y764" i="11" s="1"/>
  <c r="M708" i="11"/>
  <c r="Y774" i="11" s="1"/>
  <c r="M691" i="11"/>
  <c r="Y757" i="11" s="1"/>
  <c r="M688" i="11"/>
  <c r="Y754" i="11" s="1"/>
  <c r="M669" i="11"/>
  <c r="Y735" i="11" s="1"/>
  <c r="M685" i="11"/>
  <c r="Y751" i="11" s="1"/>
  <c r="M703" i="11"/>
  <c r="Y769" i="11" s="1"/>
  <c r="L715" i="11"/>
  <c r="M668" i="11"/>
  <c r="K715" i="11"/>
  <c r="M683" i="11"/>
  <c r="Y749" i="11" s="1"/>
  <c r="M674" i="11"/>
  <c r="Y740" i="11" s="1"/>
  <c r="M701" i="11"/>
  <c r="Y767" i="11" s="1"/>
  <c r="M684" i="11"/>
  <c r="Y750" i="11" s="1"/>
  <c r="M692" i="11"/>
  <c r="Y758" i="11" s="1"/>
  <c r="M696" i="11"/>
  <c r="Y762" i="11" s="1"/>
  <c r="M700" i="11"/>
  <c r="Y766" i="11" s="1"/>
  <c r="M672" i="11"/>
  <c r="Y738" i="11" s="1"/>
  <c r="M697" i="11"/>
  <c r="Y763" i="11" s="1"/>
  <c r="M673" i="11"/>
  <c r="Y739" i="11" s="1"/>
  <c r="M689" i="11"/>
  <c r="Y755" i="11" s="1"/>
  <c r="M713" i="11"/>
  <c r="Y779" i="11" s="1"/>
  <c r="M707" i="11"/>
  <c r="Y773" i="11" s="1"/>
  <c r="M702" i="11"/>
  <c r="Y768" i="11" s="1"/>
  <c r="M686" i="11"/>
  <c r="Y752" i="11" s="1"/>
  <c r="M677" i="11"/>
  <c r="Y743" i="11" s="1"/>
  <c r="M704" i="11"/>
  <c r="Y770" i="11" s="1"/>
  <c r="M695" i="11"/>
  <c r="Y761" i="11" s="1"/>
  <c r="M711" i="11"/>
  <c r="Y777" i="11" s="1"/>
  <c r="M676" i="11"/>
  <c r="Y742" i="11" s="1"/>
  <c r="M682" i="11"/>
  <c r="Y748" i="11" s="1"/>
  <c r="M712" i="11"/>
  <c r="Y778" i="11" s="1"/>
  <c r="M679" i="11"/>
  <c r="Y745" i="11" s="1"/>
  <c r="M709" i="11"/>
  <c r="Y775" i="11" s="1"/>
  <c r="M670" i="11"/>
  <c r="Y736" i="11" s="1"/>
  <c r="M687" i="11"/>
  <c r="Y753" i="11" s="1"/>
  <c r="M710" i="11"/>
  <c r="Y776" i="11" s="1"/>
  <c r="M681" i="11"/>
  <c r="Y747" i="11" s="1"/>
  <c r="M705" i="11"/>
  <c r="Y771" i="11" s="1"/>
  <c r="M699" i="11"/>
  <c r="Y765" i="11" s="1"/>
  <c r="Y734" i="11" l="1"/>
  <c r="Y815" i="11" s="1"/>
  <c r="M715" i="11"/>
  <c r="N75" i="1" l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CE61" i="1" l="1"/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BK48" i="1"/>
  <c r="BK62" i="1" s="1"/>
  <c r="G268" i="9" s="1"/>
  <c r="CE65" i="1"/>
  <c r="CE63" i="1"/>
  <c r="CE66" i="1"/>
  <c r="CE68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I122" i="9"/>
  <c r="F122" i="9"/>
  <c r="E122" i="9"/>
  <c r="C122" i="9"/>
  <c r="N754" i="1"/>
  <c r="I90" i="9"/>
  <c r="H90" i="9"/>
  <c r="I58" i="9"/>
  <c r="M75" i="1"/>
  <c r="F58" i="9" s="1"/>
  <c r="L75" i="1"/>
  <c r="E58" i="9" s="1"/>
  <c r="I26" i="9"/>
  <c r="H26" i="9"/>
  <c r="F26" i="9"/>
  <c r="AV75" i="1"/>
  <c r="AP75" i="1"/>
  <c r="G186" i="9" s="1"/>
  <c r="AJ75" i="1"/>
  <c r="AL75" i="1"/>
  <c r="C186" i="9" s="1"/>
  <c r="AK75" i="1"/>
  <c r="AG75" i="1"/>
  <c r="N764" i="1" s="1"/>
  <c r="C154" i="9"/>
  <c r="H122" i="9"/>
  <c r="N759" i="1"/>
  <c r="D122" i="9"/>
  <c r="E90" i="9"/>
  <c r="K75" i="1"/>
  <c r="J75" i="1"/>
  <c r="E26" i="9"/>
  <c r="CE73" i="1"/>
  <c r="CE74" i="1"/>
  <c r="C26" i="9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F9" i="6" s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55" i="1"/>
  <c r="N761" i="1"/>
  <c r="N762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T48" i="1"/>
  <c r="T62" i="1" s="1"/>
  <c r="F76" i="9" s="1"/>
  <c r="N760" i="1"/>
  <c r="N758" i="1"/>
  <c r="N753" i="1"/>
  <c r="N747" i="1"/>
  <c r="G122" i="9"/>
  <c r="H58" i="9"/>
  <c r="N746" i="1"/>
  <c r="F90" i="9"/>
  <c r="N751" i="1"/>
  <c r="D366" i="9"/>
  <c r="G812" i="1"/>
  <c r="CE64" i="1"/>
  <c r="D368" i="9"/>
  <c r="I812" i="1"/>
  <c r="C276" i="9"/>
  <c r="CE70" i="1"/>
  <c r="CE76" i="1"/>
  <c r="D612" i="1" s="1"/>
  <c r="P812" i="1"/>
  <c r="CE77" i="1"/>
  <c r="CF77" i="1" s="1"/>
  <c r="I29" i="9"/>
  <c r="C95" i="9"/>
  <c r="CE79" i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AM48" i="1"/>
  <c r="AM62" i="1" s="1"/>
  <c r="CD71" i="1"/>
  <c r="E373" i="9" s="1"/>
  <c r="BU48" i="1"/>
  <c r="BU62" i="1" s="1"/>
  <c r="C332" i="9" s="1"/>
  <c r="N757" i="1"/>
  <c r="C615" i="1"/>
  <c r="V815" i="1"/>
  <c r="E372" i="9"/>
  <c r="C421" i="1" l="1"/>
  <c r="I365" i="9"/>
  <c r="J612" i="1"/>
  <c r="C464" i="1"/>
  <c r="C432" i="1"/>
  <c r="O816" i="1"/>
  <c r="I372" i="9"/>
  <c r="I371" i="9"/>
  <c r="C434" i="1"/>
  <c r="I368" i="9"/>
  <c r="C431" i="1"/>
  <c r="F612" i="1"/>
  <c r="H612" i="1"/>
  <c r="BI730" i="1"/>
  <c r="D436" i="1"/>
  <c r="N766" i="1"/>
  <c r="N739" i="1"/>
  <c r="N763" i="1"/>
  <c r="N771" i="1"/>
  <c r="N777" i="1"/>
  <c r="D463" i="1"/>
  <c r="CD722" i="1"/>
  <c r="D32" i="6"/>
  <c r="E28" i="4"/>
  <c r="C472" i="1"/>
  <c r="I612" i="1"/>
  <c r="C218" i="9"/>
  <c r="D13" i="7"/>
  <c r="F15" i="6"/>
  <c r="G19" i="4"/>
  <c r="N769" i="1"/>
  <c r="E19" i="4"/>
  <c r="C440" i="1"/>
  <c r="B530" i="1"/>
  <c r="D5" i="7"/>
  <c r="C575" i="1"/>
  <c r="N740" i="1"/>
  <c r="N765" i="1"/>
  <c r="C415" i="1"/>
  <c r="N774" i="1"/>
  <c r="N775" i="1"/>
  <c r="N743" i="1"/>
  <c r="C470" i="1"/>
  <c r="B440" i="1"/>
  <c r="I377" i="9"/>
  <c r="N778" i="1"/>
  <c r="L816" i="1"/>
  <c r="N773" i="1"/>
  <c r="E154" i="9"/>
  <c r="R816" i="1"/>
  <c r="I381" i="9"/>
  <c r="G612" i="1"/>
  <c r="Q816" i="1"/>
  <c r="P816" i="1"/>
  <c r="I380" i="9"/>
  <c r="CF76" i="1"/>
  <c r="AP52" i="1" s="1"/>
  <c r="AP67" i="1" s="1"/>
  <c r="J773" i="1" s="1"/>
  <c r="I816" i="1"/>
  <c r="F816" i="1"/>
  <c r="C429" i="1"/>
  <c r="C430" i="1"/>
  <c r="I362" i="9"/>
  <c r="F48" i="1"/>
  <c r="F62" i="1" s="1"/>
  <c r="E737" i="1" s="1"/>
  <c r="BL48" i="1"/>
  <c r="BL62" i="1" s="1"/>
  <c r="H268" i="9" s="1"/>
  <c r="BY48" i="1"/>
  <c r="BY62" i="1" s="1"/>
  <c r="AJ48" i="1"/>
  <c r="AJ62" i="1" s="1"/>
  <c r="AY48" i="1"/>
  <c r="AY62" i="1" s="1"/>
  <c r="E782" i="1" s="1"/>
  <c r="AX48" i="1"/>
  <c r="AX62" i="1" s="1"/>
  <c r="E781" i="1" s="1"/>
  <c r="Q48" i="1"/>
  <c r="Q62" i="1" s="1"/>
  <c r="E748" i="1" s="1"/>
  <c r="N48" i="1"/>
  <c r="N62" i="1" s="1"/>
  <c r="BD48" i="1"/>
  <c r="BD62" i="1" s="1"/>
  <c r="E787" i="1" s="1"/>
  <c r="BR48" i="1"/>
  <c r="BR62" i="1" s="1"/>
  <c r="E801" i="1" s="1"/>
  <c r="BO48" i="1"/>
  <c r="BO62" i="1" s="1"/>
  <c r="D300" i="9" s="1"/>
  <c r="U48" i="1"/>
  <c r="U62" i="1" s="1"/>
  <c r="G76" i="9" s="1"/>
  <c r="O48" i="1"/>
  <c r="O62" i="1" s="1"/>
  <c r="H44" i="9" s="1"/>
  <c r="X48" i="1"/>
  <c r="X62" i="1" s="1"/>
  <c r="AD48" i="1"/>
  <c r="AD62" i="1" s="1"/>
  <c r="E761" i="1" s="1"/>
  <c r="AR48" i="1"/>
  <c r="AR62" i="1" s="1"/>
  <c r="BX48" i="1"/>
  <c r="BX62" i="1" s="1"/>
  <c r="F332" i="9" s="1"/>
  <c r="AQ48" i="1"/>
  <c r="AQ62" i="1" s="1"/>
  <c r="E774" i="1" s="1"/>
  <c r="I48" i="1"/>
  <c r="I62" i="1" s="1"/>
  <c r="BE48" i="1"/>
  <c r="BE62" i="1" s="1"/>
  <c r="E788" i="1" s="1"/>
  <c r="BQ48" i="1"/>
  <c r="BQ62" i="1" s="1"/>
  <c r="F300" i="9" s="1"/>
  <c r="AE48" i="1"/>
  <c r="AE62" i="1" s="1"/>
  <c r="BZ48" i="1"/>
  <c r="BZ62" i="1" s="1"/>
  <c r="H332" i="9" s="1"/>
  <c r="H48" i="1"/>
  <c r="H62" i="1" s="1"/>
  <c r="E739" i="1" s="1"/>
  <c r="D815" i="1"/>
  <c r="W48" i="1"/>
  <c r="W62" i="1" s="1"/>
  <c r="I76" i="9" s="1"/>
  <c r="AL48" i="1"/>
  <c r="AL62" i="1" s="1"/>
  <c r="C172" i="9" s="1"/>
  <c r="AG48" i="1"/>
  <c r="AG62" i="1" s="1"/>
  <c r="E764" i="1" s="1"/>
  <c r="AU48" i="1"/>
  <c r="AU62" i="1" s="1"/>
  <c r="R48" i="1"/>
  <c r="R62" i="1" s="1"/>
  <c r="BF48" i="1"/>
  <c r="BF62" i="1" s="1"/>
  <c r="BT48" i="1"/>
  <c r="BT62" i="1" s="1"/>
  <c r="S48" i="1"/>
  <c r="S62" i="1" s="1"/>
  <c r="BW48" i="1"/>
  <c r="BW62" i="1" s="1"/>
  <c r="E332" i="9" s="1"/>
  <c r="AO48" i="1"/>
  <c r="AO62" i="1" s="1"/>
  <c r="E772" i="1" s="1"/>
  <c r="BA48" i="1"/>
  <c r="BA62" i="1" s="1"/>
  <c r="D236" i="9" s="1"/>
  <c r="D48" i="1"/>
  <c r="D62" i="1" s="1"/>
  <c r="E735" i="1" s="1"/>
  <c r="I363" i="9"/>
  <c r="V48" i="1"/>
  <c r="V62" i="1" s="1"/>
  <c r="E753" i="1" s="1"/>
  <c r="AF48" i="1"/>
  <c r="AF62" i="1" s="1"/>
  <c r="D140" i="9" s="1"/>
  <c r="AN48" i="1"/>
  <c r="AN62" i="1" s="1"/>
  <c r="E172" i="9" s="1"/>
  <c r="AT48" i="1"/>
  <c r="AT62" i="1" s="1"/>
  <c r="E777" i="1" s="1"/>
  <c r="AZ48" i="1"/>
  <c r="AZ62" i="1" s="1"/>
  <c r="BH48" i="1"/>
  <c r="BH62" i="1" s="1"/>
  <c r="D268" i="9" s="1"/>
  <c r="BN48" i="1"/>
  <c r="BN62" i="1" s="1"/>
  <c r="BV48" i="1"/>
  <c r="BV62" i="1" s="1"/>
  <c r="E805" i="1" s="1"/>
  <c r="CA48" i="1"/>
  <c r="CA62" i="1" s="1"/>
  <c r="CB48" i="1"/>
  <c r="CB62" i="1" s="1"/>
  <c r="C364" i="9" s="1"/>
  <c r="AA48" i="1"/>
  <c r="AA62" i="1" s="1"/>
  <c r="F108" i="9" s="1"/>
  <c r="BG48" i="1"/>
  <c r="BG62" i="1" s="1"/>
  <c r="E790" i="1" s="1"/>
  <c r="CC48" i="1"/>
  <c r="CC62" i="1" s="1"/>
  <c r="E812" i="1" s="1"/>
  <c r="AW48" i="1"/>
  <c r="AW62" i="1" s="1"/>
  <c r="E780" i="1" s="1"/>
  <c r="BM48" i="1"/>
  <c r="BM62" i="1" s="1"/>
  <c r="I268" i="9" s="1"/>
  <c r="E48" i="1"/>
  <c r="E62" i="1" s="1"/>
  <c r="E12" i="9" s="1"/>
  <c r="AK48" i="1"/>
  <c r="AK62" i="1" s="1"/>
  <c r="C427" i="1"/>
  <c r="M48" i="1"/>
  <c r="M62" i="1" s="1"/>
  <c r="AC48" i="1"/>
  <c r="AC62" i="1" s="1"/>
  <c r="H108" i="9" s="1"/>
  <c r="L48" i="1"/>
  <c r="L62" i="1" s="1"/>
  <c r="E44" i="9" s="1"/>
  <c r="AS48" i="1"/>
  <c r="AS62" i="1" s="1"/>
  <c r="E776" i="1" s="1"/>
  <c r="J48" i="1"/>
  <c r="J62" i="1" s="1"/>
  <c r="C44" i="9" s="1"/>
  <c r="Z48" i="1"/>
  <c r="Z62" i="1" s="1"/>
  <c r="E108" i="9" s="1"/>
  <c r="AH48" i="1"/>
  <c r="AH62" i="1" s="1"/>
  <c r="F140" i="9" s="1"/>
  <c r="AP48" i="1"/>
  <c r="AP62" i="1" s="1"/>
  <c r="G172" i="9" s="1"/>
  <c r="AV48" i="1"/>
  <c r="AV62" i="1" s="1"/>
  <c r="BB48" i="1"/>
  <c r="BB62" i="1" s="1"/>
  <c r="BJ48" i="1"/>
  <c r="BJ62" i="1" s="1"/>
  <c r="BP48" i="1"/>
  <c r="BP62" i="1" s="1"/>
  <c r="E799" i="1" s="1"/>
  <c r="C48" i="1"/>
  <c r="K48" i="1"/>
  <c r="K62" i="1" s="1"/>
  <c r="AI48" i="1"/>
  <c r="AI62" i="1" s="1"/>
  <c r="E766" i="1" s="1"/>
  <c r="Y48" i="1"/>
  <c r="Y62" i="1" s="1"/>
  <c r="E804" i="1"/>
  <c r="BI48" i="1"/>
  <c r="BI62" i="1" s="1"/>
  <c r="BC48" i="1"/>
  <c r="BC62" i="1" s="1"/>
  <c r="BS48" i="1"/>
  <c r="BS62" i="1" s="1"/>
  <c r="G48" i="1"/>
  <c r="G62" i="1" s="1"/>
  <c r="G12" i="9" s="1"/>
  <c r="P48" i="1"/>
  <c r="P62" i="1" s="1"/>
  <c r="AB48" i="1"/>
  <c r="AB62" i="1" s="1"/>
  <c r="E759" i="1" s="1"/>
  <c r="D816" i="1"/>
  <c r="D172" i="9"/>
  <c r="E794" i="1"/>
  <c r="C473" i="1"/>
  <c r="C27" i="5"/>
  <c r="D428" i="1"/>
  <c r="C141" i="8"/>
  <c r="B465" i="1"/>
  <c r="C112" i="8"/>
  <c r="C33" i="8"/>
  <c r="B476" i="1"/>
  <c r="G10" i="4"/>
  <c r="E751" i="1"/>
  <c r="C85" i="8"/>
  <c r="D330" i="1"/>
  <c r="C86" i="8" s="1"/>
  <c r="C90" i="9"/>
  <c r="N748" i="1"/>
  <c r="G90" i="9"/>
  <c r="N752" i="1"/>
  <c r="N770" i="1"/>
  <c r="D186" i="9"/>
  <c r="C414" i="1"/>
  <c r="B10" i="4"/>
  <c r="C458" i="1"/>
  <c r="M816" i="1"/>
  <c r="C815" i="1"/>
  <c r="F815" i="1"/>
  <c r="H815" i="1"/>
  <c r="C469" i="1"/>
  <c r="F8" i="6"/>
  <c r="G58" i="9"/>
  <c r="N745" i="1"/>
  <c r="I366" i="9"/>
  <c r="G816" i="1"/>
  <c r="I154" i="9"/>
  <c r="N768" i="1"/>
  <c r="I370" i="9"/>
  <c r="K816" i="1"/>
  <c r="C448" i="1"/>
  <c r="D368" i="1"/>
  <c r="C120" i="8" s="1"/>
  <c r="C119" i="8"/>
  <c r="I815" i="1"/>
  <c r="G815" i="1"/>
  <c r="P815" i="1"/>
  <c r="Q815" i="1"/>
  <c r="R815" i="1"/>
  <c r="S815" i="1"/>
  <c r="G28" i="4"/>
  <c r="E770" i="1"/>
  <c r="B550" i="1"/>
  <c r="B505" i="1"/>
  <c r="B546" i="1"/>
  <c r="B497" i="1"/>
  <c r="B539" i="1"/>
  <c r="B532" i="1"/>
  <c r="B564" i="1"/>
  <c r="B521" i="1"/>
  <c r="B540" i="1"/>
  <c r="B560" i="1"/>
  <c r="B555" i="1"/>
  <c r="B557" i="1"/>
  <c r="B547" i="1"/>
  <c r="B525" i="1"/>
  <c r="B537" i="1"/>
  <c r="B548" i="1"/>
  <c r="B544" i="1"/>
  <c r="B501" i="1"/>
  <c r="B534" i="1"/>
  <c r="B542" i="1"/>
  <c r="B526" i="1"/>
  <c r="B566" i="1"/>
  <c r="B558" i="1"/>
  <c r="B565" i="1"/>
  <c r="B517" i="1"/>
  <c r="B570" i="1"/>
  <c r="B520" i="1"/>
  <c r="B552" i="1"/>
  <c r="B507" i="1"/>
  <c r="B500" i="1"/>
  <c r="B568" i="1"/>
  <c r="B541" i="1"/>
  <c r="B533" i="1"/>
  <c r="B512" i="1"/>
  <c r="B545" i="1"/>
  <c r="B504" i="1"/>
  <c r="B515" i="1"/>
  <c r="B508" i="1"/>
  <c r="B571" i="1"/>
  <c r="B569" i="1"/>
  <c r="B518" i="1"/>
  <c r="B536" i="1"/>
  <c r="B513" i="1"/>
  <c r="B528" i="1"/>
  <c r="B523" i="1"/>
  <c r="B516" i="1"/>
  <c r="B503" i="1"/>
  <c r="B509" i="1"/>
  <c r="B563" i="1"/>
  <c r="B562" i="1"/>
  <c r="B514" i="1"/>
  <c r="B551" i="1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I204" i="9" l="1"/>
  <c r="B535" i="1"/>
  <c r="B527" i="1"/>
  <c r="D465" i="1"/>
  <c r="B553" i="1"/>
  <c r="B522" i="1"/>
  <c r="B498" i="1"/>
  <c r="F498" i="1" s="1"/>
  <c r="B538" i="1"/>
  <c r="B567" i="1"/>
  <c r="B506" i="1"/>
  <c r="B519" i="1"/>
  <c r="F12" i="9"/>
  <c r="B556" i="1"/>
  <c r="B543" i="1"/>
  <c r="D339" i="1"/>
  <c r="C482" i="1" s="1"/>
  <c r="B574" i="1"/>
  <c r="C52" i="1"/>
  <c r="C67" i="1" s="1"/>
  <c r="C17" i="9" s="1"/>
  <c r="BV52" i="1"/>
  <c r="BV67" i="1" s="1"/>
  <c r="D337" i="9" s="1"/>
  <c r="BO52" i="1"/>
  <c r="BO67" i="1" s="1"/>
  <c r="BO71" i="1" s="1"/>
  <c r="C560" i="1" s="1"/>
  <c r="AI52" i="1"/>
  <c r="AI67" i="1" s="1"/>
  <c r="G145" i="9" s="1"/>
  <c r="AX52" i="1"/>
  <c r="AX67" i="1" s="1"/>
  <c r="AX71" i="1" s="1"/>
  <c r="C616" i="1" s="1"/>
  <c r="BF52" i="1"/>
  <c r="BF67" i="1" s="1"/>
  <c r="BF71" i="1" s="1"/>
  <c r="C551" i="1" s="1"/>
  <c r="AU52" i="1"/>
  <c r="AU67" i="1" s="1"/>
  <c r="E209" i="9" s="1"/>
  <c r="V52" i="1"/>
  <c r="V67" i="1" s="1"/>
  <c r="J753" i="1" s="1"/>
  <c r="T52" i="1"/>
  <c r="T67" i="1" s="1"/>
  <c r="T71" i="1" s="1"/>
  <c r="C513" i="1" s="1"/>
  <c r="G513" i="1" s="1"/>
  <c r="R52" i="1"/>
  <c r="R67" i="1" s="1"/>
  <c r="J749" i="1" s="1"/>
  <c r="AF52" i="1"/>
  <c r="AF67" i="1" s="1"/>
  <c r="D145" i="9" s="1"/>
  <c r="AY52" i="1"/>
  <c r="AY67" i="1" s="1"/>
  <c r="AY71" i="1" s="1"/>
  <c r="C544" i="1" s="1"/>
  <c r="G544" i="1" s="1"/>
  <c r="AC52" i="1"/>
  <c r="AC67" i="1" s="1"/>
  <c r="J760" i="1" s="1"/>
  <c r="I52" i="1"/>
  <c r="I67" i="1" s="1"/>
  <c r="I71" i="1" s="1"/>
  <c r="I21" i="9" s="1"/>
  <c r="O52" i="1"/>
  <c r="O67" i="1" s="1"/>
  <c r="J746" i="1" s="1"/>
  <c r="BE52" i="1"/>
  <c r="BE67" i="1" s="1"/>
  <c r="BE71" i="1" s="1"/>
  <c r="H245" i="9" s="1"/>
  <c r="AW52" i="1"/>
  <c r="AW67" i="1" s="1"/>
  <c r="G209" i="9" s="1"/>
  <c r="AM52" i="1"/>
  <c r="AM67" i="1" s="1"/>
  <c r="AM71" i="1" s="1"/>
  <c r="C704" i="1" s="1"/>
  <c r="Z52" i="1"/>
  <c r="Z67" i="1" s="1"/>
  <c r="E113" i="9" s="1"/>
  <c r="CC52" i="1"/>
  <c r="CC67" i="1" s="1"/>
  <c r="J812" i="1" s="1"/>
  <c r="BA52" i="1"/>
  <c r="BA67" i="1" s="1"/>
  <c r="BA71" i="1" s="1"/>
  <c r="C630" i="1" s="1"/>
  <c r="CA52" i="1"/>
  <c r="CA67" i="1" s="1"/>
  <c r="CA71" i="1" s="1"/>
  <c r="I341" i="9" s="1"/>
  <c r="W52" i="1"/>
  <c r="W67" i="1" s="1"/>
  <c r="W71" i="1" s="1"/>
  <c r="C688" i="1" s="1"/>
  <c r="N52" i="1"/>
  <c r="N67" i="1" s="1"/>
  <c r="N71" i="1" s="1"/>
  <c r="C507" i="1" s="1"/>
  <c r="G507" i="1" s="1"/>
  <c r="BR52" i="1"/>
  <c r="BR67" i="1" s="1"/>
  <c r="BR71" i="1" s="1"/>
  <c r="G309" i="9" s="1"/>
  <c r="F52" i="1"/>
  <c r="F67" i="1" s="1"/>
  <c r="F71" i="1" s="1"/>
  <c r="AO52" i="1"/>
  <c r="AO67" i="1" s="1"/>
  <c r="F177" i="9" s="1"/>
  <c r="BT52" i="1"/>
  <c r="BT67" i="1" s="1"/>
  <c r="J803" i="1" s="1"/>
  <c r="L52" i="1"/>
  <c r="L67" i="1" s="1"/>
  <c r="J743" i="1" s="1"/>
  <c r="AE52" i="1"/>
  <c r="AE67" i="1" s="1"/>
  <c r="AN52" i="1"/>
  <c r="AN67" i="1" s="1"/>
  <c r="Y52" i="1"/>
  <c r="Y67" i="1" s="1"/>
  <c r="D113" i="9" s="1"/>
  <c r="U52" i="1"/>
  <c r="U67" i="1" s="1"/>
  <c r="G81" i="9" s="1"/>
  <c r="S52" i="1"/>
  <c r="S67" i="1" s="1"/>
  <c r="E81" i="9" s="1"/>
  <c r="AR52" i="1"/>
  <c r="AR67" i="1" s="1"/>
  <c r="J775" i="1" s="1"/>
  <c r="AB52" i="1"/>
  <c r="AB67" i="1" s="1"/>
  <c r="AB71" i="1" s="1"/>
  <c r="C521" i="1" s="1"/>
  <c r="G521" i="1" s="1"/>
  <c r="Q52" i="1"/>
  <c r="Q67" i="1" s="1"/>
  <c r="C81" i="9" s="1"/>
  <c r="AD52" i="1"/>
  <c r="AD67" i="1" s="1"/>
  <c r="J761" i="1" s="1"/>
  <c r="AK52" i="1"/>
  <c r="AK67" i="1" s="1"/>
  <c r="J768" i="1" s="1"/>
  <c r="BY52" i="1"/>
  <c r="BY67" i="1" s="1"/>
  <c r="BY71" i="1" s="1"/>
  <c r="C570" i="1" s="1"/>
  <c r="AV52" i="1"/>
  <c r="AV67" i="1" s="1"/>
  <c r="AV71" i="1" s="1"/>
  <c r="BI52" i="1"/>
  <c r="BI67" i="1" s="1"/>
  <c r="J792" i="1" s="1"/>
  <c r="AS52" i="1"/>
  <c r="AS67" i="1" s="1"/>
  <c r="C209" i="9" s="1"/>
  <c r="AG52" i="1"/>
  <c r="AG67" i="1" s="1"/>
  <c r="E145" i="9" s="1"/>
  <c r="BZ52" i="1"/>
  <c r="BZ67" i="1" s="1"/>
  <c r="H337" i="9" s="1"/>
  <c r="BU52" i="1"/>
  <c r="BU67" i="1" s="1"/>
  <c r="BJ52" i="1"/>
  <c r="BJ67" i="1" s="1"/>
  <c r="J793" i="1" s="1"/>
  <c r="AA52" i="1"/>
  <c r="AA67" i="1" s="1"/>
  <c r="AA71" i="1" s="1"/>
  <c r="C692" i="1" s="1"/>
  <c r="M52" i="1"/>
  <c r="M67" i="1" s="1"/>
  <c r="J744" i="1" s="1"/>
  <c r="CB52" i="1"/>
  <c r="CB67" i="1" s="1"/>
  <c r="C369" i="9" s="1"/>
  <c r="BD52" i="1"/>
  <c r="BD67" i="1" s="1"/>
  <c r="BD71" i="1" s="1"/>
  <c r="C624" i="1" s="1"/>
  <c r="G52" i="1"/>
  <c r="G67" i="1" s="1"/>
  <c r="G17" i="9" s="1"/>
  <c r="D52" i="1"/>
  <c r="D67" i="1" s="1"/>
  <c r="D71" i="1" s="1"/>
  <c r="C497" i="1" s="1"/>
  <c r="G497" i="1" s="1"/>
  <c r="BN52" i="1"/>
  <c r="BN67" i="1" s="1"/>
  <c r="J797" i="1" s="1"/>
  <c r="BM52" i="1"/>
  <c r="BM67" i="1" s="1"/>
  <c r="I273" i="9" s="1"/>
  <c r="BQ52" i="1"/>
  <c r="BQ67" i="1" s="1"/>
  <c r="BQ71" i="1" s="1"/>
  <c r="C562" i="1" s="1"/>
  <c r="BC52" i="1"/>
  <c r="BC67" i="1" s="1"/>
  <c r="J786" i="1" s="1"/>
  <c r="AT52" i="1"/>
  <c r="AT67" i="1" s="1"/>
  <c r="J777" i="1" s="1"/>
  <c r="BX52" i="1"/>
  <c r="BX67" i="1" s="1"/>
  <c r="J807" i="1" s="1"/>
  <c r="AJ52" i="1"/>
  <c r="AJ67" i="1" s="1"/>
  <c r="H145" i="9" s="1"/>
  <c r="BB52" i="1"/>
  <c r="BB67" i="1" s="1"/>
  <c r="J785" i="1" s="1"/>
  <c r="J52" i="1"/>
  <c r="J67" i="1" s="1"/>
  <c r="J741" i="1" s="1"/>
  <c r="AH52" i="1"/>
  <c r="AH67" i="1" s="1"/>
  <c r="F145" i="9" s="1"/>
  <c r="BK52" i="1"/>
  <c r="BK67" i="1" s="1"/>
  <c r="BK71" i="1" s="1"/>
  <c r="C635" i="1" s="1"/>
  <c r="BS52" i="1"/>
  <c r="BS67" i="1" s="1"/>
  <c r="J802" i="1" s="1"/>
  <c r="AQ52" i="1"/>
  <c r="AQ67" i="1" s="1"/>
  <c r="AQ71" i="1" s="1"/>
  <c r="H181" i="9" s="1"/>
  <c r="BL52" i="1"/>
  <c r="BL67" i="1" s="1"/>
  <c r="J795" i="1" s="1"/>
  <c r="BH52" i="1"/>
  <c r="BH67" i="1" s="1"/>
  <c r="D273" i="9" s="1"/>
  <c r="BW52" i="1"/>
  <c r="BW67" i="1" s="1"/>
  <c r="BW71" i="1" s="1"/>
  <c r="C643" i="1" s="1"/>
  <c r="C337" i="9"/>
  <c r="AZ52" i="1"/>
  <c r="AZ67" i="1" s="1"/>
  <c r="AZ71" i="1" s="1"/>
  <c r="X52" i="1"/>
  <c r="X67" i="1" s="1"/>
  <c r="X71" i="1" s="1"/>
  <c r="G177" i="9"/>
  <c r="K52" i="1"/>
  <c r="K67" i="1" s="1"/>
  <c r="P52" i="1"/>
  <c r="P67" i="1" s="1"/>
  <c r="P71" i="1" s="1"/>
  <c r="AL52" i="1"/>
  <c r="AL67" i="1" s="1"/>
  <c r="BG52" i="1"/>
  <c r="BG67" i="1" s="1"/>
  <c r="BG71" i="1" s="1"/>
  <c r="C618" i="1" s="1"/>
  <c r="H52" i="1"/>
  <c r="H67" i="1" s="1"/>
  <c r="H71" i="1" s="1"/>
  <c r="H21" i="9" s="1"/>
  <c r="E52" i="1"/>
  <c r="E67" i="1" s="1"/>
  <c r="E71" i="1" s="1"/>
  <c r="C498" i="1" s="1"/>
  <c r="G498" i="1" s="1"/>
  <c r="BP52" i="1"/>
  <c r="BP67" i="1" s="1"/>
  <c r="BP71" i="1" s="1"/>
  <c r="C621" i="1" s="1"/>
  <c r="E806" i="1"/>
  <c r="H204" i="9"/>
  <c r="AU71" i="1"/>
  <c r="C712" i="1" s="1"/>
  <c r="E755" i="1"/>
  <c r="E795" i="1"/>
  <c r="E808" i="1"/>
  <c r="E140" i="9"/>
  <c r="G332" i="9"/>
  <c r="D364" i="9"/>
  <c r="G140" i="9"/>
  <c r="E752" i="1"/>
  <c r="E745" i="1"/>
  <c r="AP71" i="1"/>
  <c r="G181" i="9" s="1"/>
  <c r="H140" i="9"/>
  <c r="H12" i="9"/>
  <c r="E738" i="1"/>
  <c r="G204" i="9"/>
  <c r="G44" i="9"/>
  <c r="E767" i="1"/>
  <c r="E775" i="1"/>
  <c r="E773" i="1"/>
  <c r="D12" i="9"/>
  <c r="E300" i="9"/>
  <c r="E204" i="9"/>
  <c r="E797" i="1"/>
  <c r="E793" i="1"/>
  <c r="I172" i="9"/>
  <c r="E76" i="9"/>
  <c r="E771" i="1"/>
  <c r="E784" i="1"/>
  <c r="G236" i="9"/>
  <c r="H236" i="9"/>
  <c r="E746" i="1"/>
  <c r="E807" i="1"/>
  <c r="E778" i="1"/>
  <c r="E765" i="1"/>
  <c r="E800" i="1"/>
  <c r="E750" i="1"/>
  <c r="E803" i="1"/>
  <c r="E743" i="1"/>
  <c r="E792" i="1"/>
  <c r="C76" i="9"/>
  <c r="E791" i="1"/>
  <c r="F268" i="9"/>
  <c r="C236" i="9"/>
  <c r="I300" i="9"/>
  <c r="I236" i="9"/>
  <c r="E760" i="1"/>
  <c r="E741" i="1"/>
  <c r="E236" i="9"/>
  <c r="E740" i="1"/>
  <c r="H172" i="9"/>
  <c r="G300" i="9"/>
  <c r="E810" i="1"/>
  <c r="E779" i="1"/>
  <c r="E749" i="1"/>
  <c r="E756" i="1"/>
  <c r="H76" i="9"/>
  <c r="E783" i="1"/>
  <c r="C268" i="9"/>
  <c r="F172" i="9"/>
  <c r="D108" i="9"/>
  <c r="E744" i="1"/>
  <c r="E785" i="1"/>
  <c r="E769" i="1"/>
  <c r="E789" i="1"/>
  <c r="I108" i="9"/>
  <c r="C140" i="9"/>
  <c r="D44" i="9"/>
  <c r="I332" i="9"/>
  <c r="E798" i="1"/>
  <c r="E757" i="1"/>
  <c r="I12" i="9"/>
  <c r="E754" i="1"/>
  <c r="E736" i="1"/>
  <c r="C108" i="9"/>
  <c r="D332" i="9"/>
  <c r="D204" i="9"/>
  <c r="E762" i="1"/>
  <c r="E742" i="1"/>
  <c r="D76" i="9"/>
  <c r="E809" i="1"/>
  <c r="F236" i="9"/>
  <c r="E786" i="1"/>
  <c r="C62" i="1"/>
  <c r="CE48" i="1"/>
  <c r="F44" i="9"/>
  <c r="E747" i="1"/>
  <c r="I44" i="9"/>
  <c r="C300" i="9"/>
  <c r="E268" i="9"/>
  <c r="E796" i="1"/>
  <c r="F204" i="9"/>
  <c r="C204" i="9"/>
  <c r="E768" i="1"/>
  <c r="I140" i="9"/>
  <c r="E763" i="1"/>
  <c r="E758" i="1"/>
  <c r="E811" i="1"/>
  <c r="G108" i="9"/>
  <c r="E802" i="1"/>
  <c r="H300" i="9"/>
  <c r="D373" i="1"/>
  <c r="C126" i="8" s="1"/>
  <c r="N815" i="1"/>
  <c r="B529" i="1"/>
  <c r="B502" i="1"/>
  <c r="B510" i="1"/>
  <c r="B524" i="1"/>
  <c r="F524" i="1" s="1"/>
  <c r="B572" i="1"/>
  <c r="B554" i="1"/>
  <c r="B549" i="1"/>
  <c r="B499" i="1"/>
  <c r="H499" i="1" s="1"/>
  <c r="B559" i="1"/>
  <c r="B561" i="1"/>
  <c r="B531" i="1"/>
  <c r="B511" i="1"/>
  <c r="B573" i="1"/>
  <c r="H501" i="1"/>
  <c r="F501" i="1"/>
  <c r="F517" i="1"/>
  <c r="H505" i="1"/>
  <c r="F505" i="1"/>
  <c r="F497" i="1"/>
  <c r="F515" i="1"/>
  <c r="D27" i="7"/>
  <c r="B448" i="1"/>
  <c r="F544" i="1"/>
  <c r="H544" i="1"/>
  <c r="H536" i="1"/>
  <c r="F536" i="1"/>
  <c r="F528" i="1"/>
  <c r="H528" i="1"/>
  <c r="F520" i="1"/>
  <c r="D341" i="1"/>
  <c r="C481" i="1" s="1"/>
  <c r="C50" i="8"/>
  <c r="I378" i="9"/>
  <c r="K612" i="1"/>
  <c r="C465" i="1"/>
  <c r="N816" i="1"/>
  <c r="F32" i="6"/>
  <c r="C478" i="1"/>
  <c r="C476" i="1"/>
  <c r="F16" i="6"/>
  <c r="F516" i="1"/>
  <c r="F540" i="1"/>
  <c r="H540" i="1"/>
  <c r="F532" i="1"/>
  <c r="H532" i="1"/>
  <c r="F550" i="1"/>
  <c r="I241" i="9" l="1"/>
  <c r="C102" i="8"/>
  <c r="D305" i="9"/>
  <c r="J734" i="1"/>
  <c r="BV71" i="1"/>
  <c r="C642" i="1" s="1"/>
  <c r="R71" i="1"/>
  <c r="C511" i="1" s="1"/>
  <c r="G511" i="1" s="1"/>
  <c r="J805" i="1"/>
  <c r="F499" i="1"/>
  <c r="C305" i="9"/>
  <c r="AS71" i="1"/>
  <c r="C538" i="1" s="1"/>
  <c r="G538" i="1" s="1"/>
  <c r="J763" i="1"/>
  <c r="AH71" i="1"/>
  <c r="C699" i="1" s="1"/>
  <c r="J757" i="1"/>
  <c r="J798" i="1"/>
  <c r="AF71" i="1"/>
  <c r="D149" i="9" s="1"/>
  <c r="O71" i="1"/>
  <c r="C680" i="1" s="1"/>
  <c r="J800" i="1"/>
  <c r="AT71" i="1"/>
  <c r="D213" i="9" s="1"/>
  <c r="BN71" i="1"/>
  <c r="C619" i="1" s="1"/>
  <c r="AI71" i="1"/>
  <c r="C528" i="1" s="1"/>
  <c r="G528" i="1" s="1"/>
  <c r="E241" i="9"/>
  <c r="C556" i="1"/>
  <c r="H209" i="9"/>
  <c r="Y71" i="1"/>
  <c r="C518" i="1" s="1"/>
  <c r="G518" i="1" s="1"/>
  <c r="J738" i="1"/>
  <c r="CC71" i="1"/>
  <c r="D373" i="9" s="1"/>
  <c r="H81" i="9"/>
  <c r="C685" i="1"/>
  <c r="U71" i="1"/>
  <c r="G85" i="9" s="1"/>
  <c r="J809" i="1"/>
  <c r="J748" i="1"/>
  <c r="J766" i="1"/>
  <c r="BC71" i="1"/>
  <c r="C548" i="1" s="1"/>
  <c r="V71" i="1"/>
  <c r="H85" i="9" s="1"/>
  <c r="BH71" i="1"/>
  <c r="C553" i="1" s="1"/>
  <c r="AG71" i="1"/>
  <c r="C698" i="1" s="1"/>
  <c r="J780" i="1"/>
  <c r="J751" i="1"/>
  <c r="J781" i="1"/>
  <c r="J752" i="1"/>
  <c r="J764" i="1"/>
  <c r="J737" i="1"/>
  <c r="S71" i="1"/>
  <c r="E85" i="9" s="1"/>
  <c r="D81" i="9"/>
  <c r="J774" i="1"/>
  <c r="I337" i="9"/>
  <c r="F17" i="9"/>
  <c r="J770" i="1"/>
  <c r="F241" i="9"/>
  <c r="J810" i="1"/>
  <c r="F49" i="9"/>
  <c r="D177" i="9"/>
  <c r="J789" i="1"/>
  <c r="J750" i="1"/>
  <c r="H177" i="9"/>
  <c r="CB71" i="1"/>
  <c r="C373" i="9" s="1"/>
  <c r="BI71" i="1"/>
  <c r="C554" i="1" s="1"/>
  <c r="I113" i="9"/>
  <c r="C517" i="1"/>
  <c r="G517" i="1" s="1"/>
  <c r="C117" i="9"/>
  <c r="J811" i="1"/>
  <c r="J778" i="1"/>
  <c r="D209" i="9"/>
  <c r="J765" i="1"/>
  <c r="H49" i="9"/>
  <c r="AO71" i="1"/>
  <c r="F181" i="9" s="1"/>
  <c r="AD71" i="1"/>
  <c r="C695" i="1" s="1"/>
  <c r="D181" i="9"/>
  <c r="J787" i="1"/>
  <c r="I85" i="9"/>
  <c r="I145" i="9"/>
  <c r="E273" i="9"/>
  <c r="AK71" i="1"/>
  <c r="C530" i="1" s="1"/>
  <c r="G530" i="1" s="1"/>
  <c r="BL71" i="1"/>
  <c r="C557" i="1" s="1"/>
  <c r="C532" i="1"/>
  <c r="G532" i="1" s="1"/>
  <c r="C541" i="1"/>
  <c r="F213" i="9"/>
  <c r="AC71" i="1"/>
  <c r="H117" i="9" s="1"/>
  <c r="C674" i="1"/>
  <c r="G305" i="9"/>
  <c r="D17" i="9"/>
  <c r="I209" i="9"/>
  <c r="J756" i="1"/>
  <c r="H113" i="9"/>
  <c r="F85" i="9"/>
  <c r="BS71" i="1"/>
  <c r="C639" i="1" s="1"/>
  <c r="BZ71" i="1"/>
  <c r="C646" i="1" s="1"/>
  <c r="C502" i="1"/>
  <c r="G502" i="1" s="1"/>
  <c r="Q71" i="1"/>
  <c r="C510" i="1" s="1"/>
  <c r="G510" i="1" s="1"/>
  <c r="AW71" i="1"/>
  <c r="G213" i="9" s="1"/>
  <c r="E49" i="9"/>
  <c r="J801" i="1"/>
  <c r="M71" i="1"/>
  <c r="F53" i="9" s="1"/>
  <c r="BB71" i="1"/>
  <c r="E245" i="9" s="1"/>
  <c r="J735" i="1"/>
  <c r="J808" i="1"/>
  <c r="H241" i="9"/>
  <c r="F81" i="9"/>
  <c r="H305" i="9"/>
  <c r="L71" i="1"/>
  <c r="C505" i="1" s="1"/>
  <c r="G505" i="1" s="1"/>
  <c r="J758" i="1"/>
  <c r="J788" i="1"/>
  <c r="J782" i="1"/>
  <c r="J794" i="1"/>
  <c r="G277" i="9"/>
  <c r="C540" i="1"/>
  <c r="G540" i="1" s="1"/>
  <c r="AJ71" i="1"/>
  <c r="C701" i="1" s="1"/>
  <c r="G71" i="1"/>
  <c r="F113" i="9"/>
  <c r="J791" i="1"/>
  <c r="G273" i="9"/>
  <c r="J767" i="1"/>
  <c r="D369" i="9"/>
  <c r="J740" i="1"/>
  <c r="I17" i="9"/>
  <c r="F305" i="9"/>
  <c r="G337" i="9"/>
  <c r="BT71" i="1"/>
  <c r="C565" i="1" s="1"/>
  <c r="I305" i="9"/>
  <c r="J771" i="1"/>
  <c r="E177" i="9"/>
  <c r="BX71" i="1"/>
  <c r="C644" i="1" s="1"/>
  <c r="AN71" i="1"/>
  <c r="C533" i="1" s="1"/>
  <c r="G533" i="1" s="1"/>
  <c r="H273" i="9"/>
  <c r="BU71" i="1"/>
  <c r="J804" i="1"/>
  <c r="C145" i="9"/>
  <c r="J762" i="1"/>
  <c r="C516" i="1"/>
  <c r="G516" i="1" s="1"/>
  <c r="H516" i="1" s="1"/>
  <c r="Z71" i="1"/>
  <c r="C519" i="1" s="1"/>
  <c r="G519" i="1" s="1"/>
  <c r="I81" i="9"/>
  <c r="F337" i="9"/>
  <c r="J776" i="1"/>
  <c r="J71" i="1"/>
  <c r="C503" i="1" s="1"/>
  <c r="G503" i="1" s="1"/>
  <c r="AE71" i="1"/>
  <c r="C524" i="1" s="1"/>
  <c r="G524" i="1" s="1"/>
  <c r="C49" i="9"/>
  <c r="BJ71" i="1"/>
  <c r="J806" i="1"/>
  <c r="E337" i="9"/>
  <c r="J779" i="1"/>
  <c r="F209" i="9"/>
  <c r="J784" i="1"/>
  <c r="D241" i="9"/>
  <c r="I177" i="9"/>
  <c r="BM71" i="1"/>
  <c r="C638" i="1" s="1"/>
  <c r="J796" i="1"/>
  <c r="G241" i="9"/>
  <c r="H53" i="9"/>
  <c r="J754" i="1"/>
  <c r="C689" i="1"/>
  <c r="AR71" i="1"/>
  <c r="C537" i="1" s="1"/>
  <c r="G537" i="1" s="1"/>
  <c r="J772" i="1"/>
  <c r="F273" i="9"/>
  <c r="J759" i="1"/>
  <c r="G113" i="9"/>
  <c r="J745" i="1"/>
  <c r="G49" i="9"/>
  <c r="C628" i="1"/>
  <c r="C545" i="1"/>
  <c r="G545" i="1" s="1"/>
  <c r="C245" i="9"/>
  <c r="C713" i="1"/>
  <c r="D85" i="9"/>
  <c r="J783" i="1"/>
  <c r="C241" i="9"/>
  <c r="J755" i="1"/>
  <c r="C113" i="9"/>
  <c r="CE67" i="1"/>
  <c r="J769" i="1"/>
  <c r="C177" i="9"/>
  <c r="I49" i="9"/>
  <c r="J747" i="1"/>
  <c r="CE52" i="1"/>
  <c r="H17" i="9"/>
  <c r="J739" i="1"/>
  <c r="D49" i="9"/>
  <c r="J742" i="1"/>
  <c r="E305" i="9"/>
  <c r="J799" i="1"/>
  <c r="AL71" i="1"/>
  <c r="C531" i="1" s="1"/>
  <c r="G531" i="1" s="1"/>
  <c r="J736" i="1"/>
  <c r="E17" i="9"/>
  <c r="J790" i="1"/>
  <c r="C273" i="9"/>
  <c r="K71" i="1"/>
  <c r="C572" i="1"/>
  <c r="C629" i="1"/>
  <c r="C647" i="1"/>
  <c r="I245" i="9"/>
  <c r="C626" i="1"/>
  <c r="C563" i="1"/>
  <c r="D21" i="9"/>
  <c r="C669" i="1"/>
  <c r="G53" i="9"/>
  <c r="C679" i="1"/>
  <c r="E213" i="9"/>
  <c r="G341" i="9"/>
  <c r="C645" i="1"/>
  <c r="F21" i="9"/>
  <c r="C499" i="1"/>
  <c r="G499" i="1" s="1"/>
  <c r="C671" i="1"/>
  <c r="C623" i="1"/>
  <c r="C670" i="1"/>
  <c r="F309" i="9"/>
  <c r="C501" i="1"/>
  <c r="G501" i="1" s="1"/>
  <c r="C550" i="1"/>
  <c r="G550" i="1" s="1"/>
  <c r="C625" i="1"/>
  <c r="C546" i="1"/>
  <c r="G546" i="1" s="1"/>
  <c r="E309" i="9"/>
  <c r="D245" i="9"/>
  <c r="C561" i="1"/>
  <c r="C614" i="1"/>
  <c r="G245" i="9"/>
  <c r="C707" i="1"/>
  <c r="C535" i="1"/>
  <c r="G535" i="1" s="1"/>
  <c r="C536" i="1"/>
  <c r="G536" i="1" s="1"/>
  <c r="C568" i="1"/>
  <c r="C549" i="1"/>
  <c r="I213" i="9"/>
  <c r="C673" i="1"/>
  <c r="H213" i="9"/>
  <c r="C543" i="1"/>
  <c r="C277" i="9"/>
  <c r="E341" i="9"/>
  <c r="C708" i="1"/>
  <c r="C552" i="1"/>
  <c r="F117" i="9"/>
  <c r="C627" i="1"/>
  <c r="E21" i="9"/>
  <c r="G117" i="9"/>
  <c r="D309" i="9"/>
  <c r="C693" i="1"/>
  <c r="I53" i="9"/>
  <c r="C681" i="1"/>
  <c r="C509" i="1"/>
  <c r="G509" i="1" s="1"/>
  <c r="E734" i="1"/>
  <c r="E815" i="1" s="1"/>
  <c r="C12" i="9"/>
  <c r="CE62" i="1"/>
  <c r="C71" i="1"/>
  <c r="C520" i="1"/>
  <c r="G520" i="1" s="1"/>
  <c r="H498" i="1"/>
  <c r="D391" i="1"/>
  <c r="D393" i="1" s="1"/>
  <c r="H497" i="1"/>
  <c r="F511" i="1"/>
  <c r="B496" i="1"/>
  <c r="F522" i="1"/>
  <c r="F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F500" i="1"/>
  <c r="F509" i="1"/>
  <c r="J816" i="1" l="1"/>
  <c r="D341" i="9"/>
  <c r="C683" i="1"/>
  <c r="H511" i="1"/>
  <c r="C567" i="1"/>
  <c r="C697" i="1"/>
  <c r="C710" i="1"/>
  <c r="C213" i="9"/>
  <c r="C525" i="1"/>
  <c r="G525" i="1" s="1"/>
  <c r="C514" i="1"/>
  <c r="G514" i="1" s="1"/>
  <c r="F245" i="9"/>
  <c r="H510" i="1"/>
  <c r="C527" i="1"/>
  <c r="G527" i="1" s="1"/>
  <c r="F149" i="9"/>
  <c r="C508" i="1"/>
  <c r="G508" i="1" s="1"/>
  <c r="C711" i="1"/>
  <c r="C539" i="1"/>
  <c r="G539" i="1" s="1"/>
  <c r="C309" i="9"/>
  <c r="C559" i="1"/>
  <c r="C700" i="1"/>
  <c r="C686" i="1"/>
  <c r="C633" i="1"/>
  <c r="C677" i="1"/>
  <c r="G149" i="9"/>
  <c r="C620" i="1"/>
  <c r="H309" i="9"/>
  <c r="C636" i="1"/>
  <c r="C512" i="1"/>
  <c r="H512" i="1" s="1"/>
  <c r="E181" i="9"/>
  <c r="E149" i="9"/>
  <c r="C622" i="1"/>
  <c r="C573" i="1"/>
  <c r="C529" i="1"/>
  <c r="G529" i="1" s="1"/>
  <c r="C690" i="1"/>
  <c r="H518" i="1"/>
  <c r="C526" i="1"/>
  <c r="G526" i="1" s="1"/>
  <c r="D117" i="9"/>
  <c r="C564" i="1"/>
  <c r="C687" i="1"/>
  <c r="C706" i="1"/>
  <c r="C522" i="1"/>
  <c r="G522" i="1" s="1"/>
  <c r="C694" i="1"/>
  <c r="C515" i="1"/>
  <c r="G515" i="1" s="1"/>
  <c r="C574" i="1"/>
  <c r="C542" i="1"/>
  <c r="C534" i="1"/>
  <c r="G534" i="1" s="1"/>
  <c r="C631" i="1"/>
  <c r="C637" i="1"/>
  <c r="I277" i="9"/>
  <c r="I117" i="9"/>
  <c r="D277" i="9"/>
  <c r="C691" i="1"/>
  <c r="H277" i="9"/>
  <c r="C684" i="1"/>
  <c r="H517" i="1"/>
  <c r="C523" i="1"/>
  <c r="G523" i="1" s="1"/>
  <c r="C705" i="1"/>
  <c r="H149" i="9"/>
  <c r="C634" i="1"/>
  <c r="C149" i="9"/>
  <c r="C696" i="1"/>
  <c r="H524" i="1"/>
  <c r="E277" i="9"/>
  <c r="I149" i="9"/>
  <c r="C506" i="1"/>
  <c r="G506" i="1" s="1"/>
  <c r="H506" i="1" s="1"/>
  <c r="C702" i="1"/>
  <c r="C682" i="1"/>
  <c r="C85" i="9"/>
  <c r="E53" i="9"/>
  <c r="C678" i="1"/>
  <c r="H341" i="9"/>
  <c r="C181" i="9"/>
  <c r="C675" i="1"/>
  <c r="C547" i="1"/>
  <c r="C632" i="1"/>
  <c r="C571" i="1"/>
  <c r="F341" i="9"/>
  <c r="E117" i="9"/>
  <c r="C433" i="1"/>
  <c r="C500" i="1"/>
  <c r="C672" i="1"/>
  <c r="C569" i="1"/>
  <c r="C703" i="1"/>
  <c r="G21" i="9"/>
  <c r="C640" i="1"/>
  <c r="I309" i="9"/>
  <c r="C53" i="9"/>
  <c r="I369" i="9"/>
  <c r="C558" i="1"/>
  <c r="C709" i="1"/>
  <c r="I181" i="9"/>
  <c r="C555" i="1"/>
  <c r="C617" i="1"/>
  <c r="F277" i="9"/>
  <c r="C341" i="9"/>
  <c r="C641" i="1"/>
  <c r="C566" i="1"/>
  <c r="J815" i="1"/>
  <c r="D53" i="9"/>
  <c r="C504" i="1"/>
  <c r="G504" i="1" s="1"/>
  <c r="C676" i="1"/>
  <c r="H550" i="1"/>
  <c r="D615" i="1"/>
  <c r="H546" i="1"/>
  <c r="H509" i="1"/>
  <c r="C21" i="9"/>
  <c r="C496" i="1"/>
  <c r="G496" i="1" s="1"/>
  <c r="C668" i="1"/>
  <c r="H520" i="1"/>
  <c r="I364" i="9"/>
  <c r="CE71" i="1"/>
  <c r="C428" i="1"/>
  <c r="E816" i="1"/>
  <c r="C142" i="8"/>
  <c r="F496" i="1"/>
  <c r="F545" i="1"/>
  <c r="H545" i="1" s="1"/>
  <c r="H525" i="1"/>
  <c r="F525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G512" i="1" l="1"/>
  <c r="H508" i="1"/>
  <c r="H514" i="1"/>
  <c r="H529" i="1"/>
  <c r="H526" i="1"/>
  <c r="H515" i="1"/>
  <c r="H522" i="1"/>
  <c r="C441" i="1"/>
  <c r="C648" i="1"/>
  <c r="M716" i="1" s="1"/>
  <c r="Y816" i="1" s="1"/>
  <c r="G500" i="1"/>
  <c r="H500" i="1" s="1"/>
  <c r="D629" i="1"/>
  <c r="D697" i="1"/>
  <c r="D690" i="1"/>
  <c r="D632" i="1"/>
  <c r="D647" i="1"/>
  <c r="D637" i="1"/>
  <c r="D702" i="1"/>
  <c r="D707" i="1"/>
  <c r="D616" i="1"/>
  <c r="D642" i="1"/>
  <c r="D675" i="1"/>
  <c r="D639" i="1"/>
  <c r="D687" i="1"/>
  <c r="D618" i="1"/>
  <c r="D679" i="1"/>
  <c r="D708" i="1"/>
  <c r="D633" i="1"/>
  <c r="D626" i="1"/>
  <c r="D682" i="1"/>
  <c r="D628" i="1"/>
  <c r="D712" i="1"/>
  <c r="D627" i="1"/>
  <c r="D703" i="1"/>
  <c r="D634" i="1"/>
  <c r="D698" i="1"/>
  <c r="D709" i="1"/>
  <c r="D716" i="1"/>
  <c r="D706" i="1"/>
  <c r="D645" i="1"/>
  <c r="D624" i="1"/>
  <c r="D695" i="1"/>
  <c r="D668" i="1"/>
  <c r="D673" i="1"/>
  <c r="D674" i="1"/>
  <c r="D685" i="1"/>
  <c r="D713" i="1"/>
  <c r="D699" i="1"/>
  <c r="D704" i="1"/>
  <c r="D625" i="1"/>
  <c r="D683" i="1"/>
  <c r="D619" i="1"/>
  <c r="D680" i="1"/>
  <c r="D710" i="1"/>
  <c r="D630" i="1"/>
  <c r="D700" i="1"/>
  <c r="D696" i="1"/>
  <c r="D689" i="1"/>
  <c r="D677" i="1"/>
  <c r="D691" i="1"/>
  <c r="D620" i="1"/>
  <c r="D694" i="1"/>
  <c r="D692" i="1"/>
  <c r="D623" i="1"/>
  <c r="D681" i="1"/>
  <c r="D643" i="1"/>
  <c r="D705" i="1"/>
  <c r="D701" i="1"/>
  <c r="D640" i="1"/>
  <c r="D669" i="1"/>
  <c r="D684" i="1"/>
  <c r="D635" i="1"/>
  <c r="D617" i="1"/>
  <c r="D636" i="1"/>
  <c r="D631" i="1"/>
  <c r="D676" i="1"/>
  <c r="D686" i="1"/>
  <c r="D622" i="1"/>
  <c r="D693" i="1"/>
  <c r="D688" i="1"/>
  <c r="D646" i="1"/>
  <c r="D641" i="1"/>
  <c r="D672" i="1"/>
  <c r="D711" i="1"/>
  <c r="D644" i="1"/>
  <c r="D678" i="1"/>
  <c r="D621" i="1"/>
  <c r="D670" i="1"/>
  <c r="D638" i="1"/>
  <c r="D671" i="1"/>
  <c r="H496" i="1"/>
  <c r="C715" i="1"/>
  <c r="C716" i="1"/>
  <c r="I373" i="9"/>
  <c r="E623" i="1" l="1"/>
  <c r="E716" i="1" s="1"/>
  <c r="E612" i="1"/>
  <c r="D715" i="1"/>
  <c r="E631" i="1" l="1"/>
  <c r="E626" i="1"/>
  <c r="E697" i="1"/>
  <c r="E690" i="1"/>
  <c r="E633" i="1"/>
  <c r="E688" i="1"/>
  <c r="E695" i="1"/>
  <c r="E670" i="1"/>
  <c r="E674" i="1"/>
  <c r="E681" i="1"/>
  <c r="E684" i="1"/>
  <c r="E698" i="1"/>
  <c r="E699" i="1"/>
  <c r="E643" i="1"/>
  <c r="E685" i="1"/>
  <c r="E691" i="1"/>
  <c r="E671" i="1"/>
  <c r="E700" i="1"/>
  <c r="E636" i="1"/>
  <c r="E640" i="1"/>
  <c r="E706" i="1"/>
  <c r="E708" i="1"/>
  <c r="E675" i="1"/>
  <c r="E713" i="1"/>
  <c r="E672" i="1"/>
  <c r="E632" i="1"/>
  <c r="E630" i="1"/>
  <c r="E704" i="1"/>
  <c r="E634" i="1"/>
  <c r="E687" i="1"/>
  <c r="E686" i="1"/>
  <c r="E705" i="1"/>
  <c r="E710" i="1"/>
  <c r="E689" i="1"/>
  <c r="E668" i="1"/>
  <c r="E677" i="1"/>
  <c r="E635" i="1"/>
  <c r="E711" i="1"/>
  <c r="E696" i="1"/>
  <c r="E637" i="1"/>
  <c r="E644" i="1"/>
  <c r="E709" i="1"/>
  <c r="E680" i="1"/>
  <c r="E627" i="1"/>
  <c r="E645" i="1"/>
  <c r="E638" i="1"/>
  <c r="E682" i="1"/>
  <c r="E702" i="1"/>
  <c r="E669" i="1"/>
  <c r="E683" i="1"/>
  <c r="E647" i="1"/>
  <c r="E641" i="1"/>
  <c r="E676" i="1"/>
  <c r="E625" i="1"/>
  <c r="E692" i="1"/>
  <c r="E694" i="1"/>
  <c r="E628" i="1"/>
  <c r="E673" i="1"/>
  <c r="E646" i="1"/>
  <c r="E712" i="1"/>
  <c r="E642" i="1"/>
  <c r="E678" i="1"/>
  <c r="E639" i="1"/>
  <c r="E703" i="1"/>
  <c r="E629" i="1"/>
  <c r="E679" i="1"/>
  <c r="E693" i="1"/>
  <c r="E707" i="1"/>
  <c r="E624" i="1"/>
  <c r="F624" i="1" s="1"/>
  <c r="E701" i="1"/>
  <c r="F692" i="1" l="1"/>
  <c r="F706" i="1"/>
  <c r="F709" i="1"/>
  <c r="F629" i="1"/>
  <c r="F636" i="1"/>
  <c r="F716" i="1"/>
  <c r="F703" i="1"/>
  <c r="F713" i="1"/>
  <c r="F677" i="1"/>
  <c r="F710" i="1"/>
  <c r="F641" i="1"/>
  <c r="F707" i="1"/>
  <c r="F691" i="1"/>
  <c r="F632" i="1"/>
  <c r="F690" i="1"/>
  <c r="F625" i="1"/>
  <c r="F643" i="1"/>
  <c r="F698" i="1"/>
  <c r="F634" i="1"/>
  <c r="F640" i="1"/>
  <c r="F639" i="1"/>
  <c r="F712" i="1"/>
  <c r="F687" i="1"/>
  <c r="F701" i="1"/>
  <c r="F694" i="1"/>
  <c r="F685" i="1"/>
  <c r="F700" i="1"/>
  <c r="F672" i="1"/>
  <c r="F670" i="1"/>
  <c r="F708" i="1"/>
  <c r="F633" i="1"/>
  <c r="F674" i="1"/>
  <c r="F705" i="1"/>
  <c r="F711" i="1"/>
  <c r="F669" i="1"/>
  <c r="F644" i="1"/>
  <c r="F635" i="1"/>
  <c r="F684" i="1"/>
  <c r="F647" i="1"/>
  <c r="F673" i="1"/>
  <c r="F626" i="1"/>
  <c r="F702" i="1"/>
  <c r="F693" i="1"/>
  <c r="F695" i="1"/>
  <c r="F627" i="1"/>
  <c r="F646" i="1"/>
  <c r="F681" i="1"/>
  <c r="F628" i="1"/>
  <c r="F642" i="1"/>
  <c r="F668" i="1"/>
  <c r="F675" i="1"/>
  <c r="F697" i="1"/>
  <c r="F682" i="1"/>
  <c r="F686" i="1"/>
  <c r="F679" i="1"/>
  <c r="F680" i="1"/>
  <c r="F671" i="1"/>
  <c r="F637" i="1"/>
  <c r="F678" i="1"/>
  <c r="F696" i="1"/>
  <c r="F704" i="1"/>
  <c r="F688" i="1"/>
  <c r="F676" i="1"/>
  <c r="F631" i="1"/>
  <c r="F683" i="1"/>
  <c r="F689" i="1"/>
  <c r="F699" i="1"/>
  <c r="F630" i="1"/>
  <c r="F645" i="1"/>
  <c r="F638" i="1"/>
  <c r="E715" i="1"/>
  <c r="F715" i="1" l="1"/>
  <c r="G625" i="1"/>
  <c r="G673" i="1" l="1"/>
  <c r="G708" i="1"/>
  <c r="G694" i="1"/>
  <c r="G706" i="1"/>
  <c r="G691" i="1"/>
  <c r="G679" i="1"/>
  <c r="G637" i="1"/>
  <c r="G674" i="1"/>
  <c r="G638" i="1"/>
  <c r="G698" i="1"/>
  <c r="G672" i="1"/>
  <c r="G707" i="1"/>
  <c r="G711" i="1"/>
  <c r="G701" i="1"/>
  <c r="G685" i="1"/>
  <c r="G705" i="1"/>
  <c r="G645" i="1"/>
  <c r="G635" i="1"/>
  <c r="G675" i="1"/>
  <c r="G700" i="1"/>
  <c r="G636" i="1"/>
  <c r="G692" i="1"/>
  <c r="G641" i="1"/>
  <c r="G629" i="1"/>
  <c r="G689" i="1"/>
  <c r="G683" i="1"/>
  <c r="G713" i="1"/>
  <c r="G682" i="1"/>
  <c r="G634" i="1"/>
  <c r="G677" i="1"/>
  <c r="G670" i="1"/>
  <c r="G647" i="1"/>
  <c r="G696" i="1"/>
  <c r="G702" i="1"/>
  <c r="G688" i="1"/>
  <c r="G703" i="1"/>
  <c r="G697" i="1"/>
  <c r="G639" i="1"/>
  <c r="G710" i="1"/>
  <c r="G642" i="1"/>
  <c r="G668" i="1"/>
  <c r="G686" i="1"/>
  <c r="G640" i="1"/>
  <c r="G712" i="1"/>
  <c r="G716" i="1"/>
  <c r="G687" i="1"/>
  <c r="G646" i="1"/>
  <c r="G630" i="1"/>
  <c r="G704" i="1"/>
  <c r="G681" i="1"/>
  <c r="G628" i="1"/>
  <c r="G644" i="1"/>
  <c r="G676" i="1"/>
  <c r="G632" i="1"/>
  <c r="G709" i="1"/>
  <c r="G671" i="1"/>
  <c r="G680" i="1"/>
  <c r="G631" i="1"/>
  <c r="G627" i="1"/>
  <c r="G643" i="1"/>
  <c r="G693" i="1"/>
  <c r="G690" i="1"/>
  <c r="G669" i="1"/>
  <c r="G695" i="1"/>
  <c r="G626" i="1"/>
  <c r="G678" i="1"/>
  <c r="G684" i="1"/>
  <c r="G699" i="1"/>
  <c r="G633" i="1"/>
  <c r="G715" i="1" l="1"/>
  <c r="H628" i="1"/>
  <c r="H636" i="1" s="1"/>
  <c r="H688" i="1" l="1"/>
  <c r="H703" i="1"/>
  <c r="H635" i="1"/>
  <c r="H678" i="1"/>
  <c r="H638" i="1"/>
  <c r="H682" i="1"/>
  <c r="H629" i="1"/>
  <c r="I629" i="1" s="1"/>
  <c r="H706" i="1"/>
  <c r="H695" i="1"/>
  <c r="H704" i="1"/>
  <c r="H692" i="1"/>
  <c r="H643" i="1"/>
  <c r="H697" i="1"/>
  <c r="H670" i="1"/>
  <c r="H676" i="1"/>
  <c r="H691" i="1"/>
  <c r="H699" i="1"/>
  <c r="H675" i="1"/>
  <c r="H707" i="1"/>
  <c r="H696" i="1"/>
  <c r="H633" i="1"/>
  <c r="H689" i="1"/>
  <c r="H671" i="1"/>
  <c r="H685" i="1"/>
  <c r="H646" i="1"/>
  <c r="H709" i="1"/>
  <c r="H674" i="1"/>
  <c r="H647" i="1"/>
  <c r="H716" i="1"/>
  <c r="H708" i="1"/>
  <c r="H632" i="1"/>
  <c r="H634" i="1"/>
  <c r="H640" i="1"/>
  <c r="H690" i="1"/>
  <c r="H630" i="1"/>
  <c r="H693" i="1"/>
  <c r="H686" i="1"/>
  <c r="H642" i="1"/>
  <c r="H645" i="1"/>
  <c r="H677" i="1"/>
  <c r="H712" i="1"/>
  <c r="H641" i="1"/>
  <c r="H705" i="1"/>
  <c r="H672" i="1"/>
  <c r="H680" i="1"/>
  <c r="H668" i="1"/>
  <c r="H713" i="1"/>
  <c r="H687" i="1"/>
  <c r="H698" i="1"/>
  <c r="H700" i="1"/>
  <c r="H694" i="1"/>
  <c r="H637" i="1"/>
  <c r="H631" i="1"/>
  <c r="H702" i="1"/>
  <c r="H710" i="1"/>
  <c r="H681" i="1"/>
  <c r="H679" i="1"/>
  <c r="H669" i="1"/>
  <c r="H701" i="1"/>
  <c r="H673" i="1"/>
  <c r="H639" i="1"/>
  <c r="H683" i="1"/>
  <c r="H644" i="1"/>
  <c r="H684" i="1"/>
  <c r="H711" i="1"/>
  <c r="I707" i="1" l="1"/>
  <c r="I709" i="1"/>
  <c r="I633" i="1"/>
  <c r="I688" i="1"/>
  <c r="I694" i="1"/>
  <c r="I668" i="1"/>
  <c r="I642" i="1"/>
  <c r="I636" i="1"/>
  <c r="I646" i="1"/>
  <c r="I681" i="1"/>
  <c r="I675" i="1"/>
  <c r="I701" i="1"/>
  <c r="I710" i="1"/>
  <c r="I644" i="1"/>
  <c r="I689" i="1"/>
  <c r="I679" i="1"/>
  <c r="I647" i="1"/>
  <c r="I684" i="1"/>
  <c r="I631" i="1"/>
  <c r="I700" i="1"/>
  <c r="I696" i="1"/>
  <c r="I645" i="1"/>
  <c r="I690" i="1"/>
  <c r="I695" i="1"/>
  <c r="I703" i="1"/>
  <c r="I637" i="1"/>
  <c r="I635" i="1"/>
  <c r="I692" i="1"/>
  <c r="I632" i="1"/>
  <c r="I708" i="1"/>
  <c r="I680" i="1"/>
  <c r="I711" i="1"/>
  <c r="I712" i="1"/>
  <c r="I705" i="1"/>
  <c r="I699" i="1"/>
  <c r="I691" i="1"/>
  <c r="I685" i="1"/>
  <c r="I693" i="1"/>
  <c r="I678" i="1"/>
  <c r="I686" i="1"/>
  <c r="I683" i="1"/>
  <c r="I687" i="1"/>
  <c r="I682" i="1"/>
  <c r="I704" i="1"/>
  <c r="I643" i="1"/>
  <c r="I638" i="1"/>
  <c r="I677" i="1"/>
  <c r="I716" i="1"/>
  <c r="I676" i="1"/>
  <c r="I671" i="1"/>
  <c r="I639" i="1"/>
  <c r="I673" i="1"/>
  <c r="I674" i="1"/>
  <c r="I672" i="1"/>
  <c r="I702" i="1"/>
  <c r="I706" i="1"/>
  <c r="I641" i="1"/>
  <c r="I713" i="1"/>
  <c r="I634" i="1"/>
  <c r="I669" i="1"/>
  <c r="I697" i="1"/>
  <c r="I630" i="1"/>
  <c r="I698" i="1"/>
  <c r="I640" i="1"/>
  <c r="I670" i="1"/>
  <c r="H715" i="1"/>
  <c r="I715" i="1" l="1"/>
  <c r="J630" i="1"/>
  <c r="J683" i="1" l="1"/>
  <c r="J678" i="1"/>
  <c r="J637" i="1"/>
  <c r="J635" i="1"/>
  <c r="J699" i="1"/>
  <c r="J645" i="1"/>
  <c r="J697" i="1"/>
  <c r="J713" i="1"/>
  <c r="J696" i="1"/>
  <c r="J675" i="1"/>
  <c r="J634" i="1"/>
  <c r="J633" i="1"/>
  <c r="J688" i="1"/>
  <c r="J706" i="1"/>
  <c r="J707" i="1"/>
  <c r="J694" i="1"/>
  <c r="J705" i="1"/>
  <c r="J691" i="1"/>
  <c r="J647" i="1"/>
  <c r="J716" i="1"/>
  <c r="J701" i="1"/>
  <c r="J677" i="1"/>
  <c r="J671" i="1"/>
  <c r="J643" i="1"/>
  <c r="J669" i="1"/>
  <c r="J711" i="1"/>
  <c r="J704" i="1"/>
  <c r="J686" i="1"/>
  <c r="J676" i="1"/>
  <c r="J684" i="1"/>
  <c r="J642" i="1"/>
  <c r="J639" i="1"/>
  <c r="J638" i="1"/>
  <c r="J710" i="1"/>
  <c r="J698" i="1"/>
  <c r="J703" i="1"/>
  <c r="J685" i="1"/>
  <c r="J680" i="1"/>
  <c r="J636" i="1"/>
  <c r="J673" i="1"/>
  <c r="J640" i="1"/>
  <c r="J672" i="1"/>
  <c r="J709" i="1"/>
  <c r="J632" i="1"/>
  <c r="J693" i="1"/>
  <c r="J670" i="1"/>
  <c r="J690" i="1"/>
  <c r="J668" i="1"/>
  <c r="J681" i="1"/>
  <c r="J641" i="1"/>
  <c r="J682" i="1"/>
  <c r="J702" i="1"/>
  <c r="J689" i="1"/>
  <c r="J692" i="1"/>
  <c r="J646" i="1"/>
  <c r="J712" i="1"/>
  <c r="J674" i="1"/>
  <c r="J695" i="1"/>
  <c r="J708" i="1"/>
  <c r="J679" i="1"/>
  <c r="J644" i="1"/>
  <c r="J700" i="1"/>
  <c r="J687" i="1"/>
  <c r="J631" i="1"/>
  <c r="L647" i="1" l="1"/>
  <c r="L710" i="1" s="1"/>
  <c r="J715" i="1"/>
  <c r="K644" i="1"/>
  <c r="L676" i="1" l="1"/>
  <c r="L702" i="1"/>
  <c r="L696" i="1"/>
  <c r="L693" i="1"/>
  <c r="L685" i="1"/>
  <c r="L713" i="1"/>
  <c r="L671" i="1"/>
  <c r="L703" i="1"/>
  <c r="L682" i="1"/>
  <c r="L697" i="1"/>
  <c r="L694" i="1"/>
  <c r="L700" i="1"/>
  <c r="L712" i="1"/>
  <c r="L699" i="1"/>
  <c r="L686" i="1"/>
  <c r="L677" i="1"/>
  <c r="L669" i="1"/>
  <c r="L681" i="1"/>
  <c r="L695" i="1"/>
  <c r="L687" i="1"/>
  <c r="L705" i="1"/>
  <c r="L679" i="1"/>
  <c r="L680" i="1"/>
  <c r="L704" i="1"/>
  <c r="L709" i="1"/>
  <c r="L701" i="1"/>
  <c r="L668" i="1"/>
  <c r="L675" i="1"/>
  <c r="L706" i="1"/>
  <c r="L678" i="1"/>
  <c r="L684" i="1"/>
  <c r="L689" i="1"/>
  <c r="L707" i="1"/>
  <c r="L672" i="1"/>
  <c r="L688" i="1"/>
  <c r="L673" i="1"/>
  <c r="L698" i="1"/>
  <c r="L690" i="1"/>
  <c r="L683" i="1"/>
  <c r="L708" i="1"/>
  <c r="L716" i="1"/>
  <c r="L711" i="1"/>
  <c r="L692" i="1"/>
  <c r="L691" i="1"/>
  <c r="L670" i="1"/>
  <c r="L674" i="1"/>
  <c r="K694" i="1"/>
  <c r="M694" i="1" s="1"/>
  <c r="K706" i="1"/>
  <c r="K702" i="1"/>
  <c r="K701" i="1"/>
  <c r="K684" i="1"/>
  <c r="K708" i="1"/>
  <c r="M708" i="1" s="1"/>
  <c r="K713" i="1"/>
  <c r="K716" i="1"/>
  <c r="K672" i="1"/>
  <c r="K711" i="1"/>
  <c r="K680" i="1"/>
  <c r="K692" i="1"/>
  <c r="K709" i="1"/>
  <c r="K695" i="1"/>
  <c r="K697" i="1"/>
  <c r="K668" i="1"/>
  <c r="K707" i="1"/>
  <c r="K681" i="1"/>
  <c r="K676" i="1"/>
  <c r="K671" i="1"/>
  <c r="K673" i="1"/>
  <c r="K674" i="1"/>
  <c r="K679" i="1"/>
  <c r="K690" i="1"/>
  <c r="M690" i="1" s="1"/>
  <c r="K675" i="1"/>
  <c r="K703" i="1"/>
  <c r="M703" i="1" s="1"/>
  <c r="K693" i="1"/>
  <c r="K669" i="1"/>
  <c r="K691" i="1"/>
  <c r="K685" i="1"/>
  <c r="K670" i="1"/>
  <c r="K710" i="1"/>
  <c r="M710" i="1" s="1"/>
  <c r="K689" i="1"/>
  <c r="K678" i="1"/>
  <c r="K712" i="1"/>
  <c r="K687" i="1"/>
  <c r="K696" i="1"/>
  <c r="M696" i="1" s="1"/>
  <c r="K688" i="1"/>
  <c r="K683" i="1"/>
  <c r="K699" i="1"/>
  <c r="M699" i="1" s="1"/>
  <c r="K677" i="1"/>
  <c r="K686" i="1"/>
  <c r="K700" i="1"/>
  <c r="K682" i="1"/>
  <c r="K705" i="1"/>
  <c r="K698" i="1"/>
  <c r="K704" i="1"/>
  <c r="M684" i="1" l="1"/>
  <c r="E87" i="9" s="1"/>
  <c r="M679" i="1"/>
  <c r="G55" i="9" s="1"/>
  <c r="M702" i="1"/>
  <c r="Y768" i="1" s="1"/>
  <c r="M688" i="1"/>
  <c r="I87" i="9" s="1"/>
  <c r="M691" i="1"/>
  <c r="E119" i="9" s="1"/>
  <c r="M677" i="1"/>
  <c r="E55" i="9" s="1"/>
  <c r="M676" i="1"/>
  <c r="Y742" i="1" s="1"/>
  <c r="L715" i="1"/>
  <c r="M669" i="1"/>
  <c r="Y735" i="1" s="1"/>
  <c r="M687" i="1"/>
  <c r="Y753" i="1" s="1"/>
  <c r="M674" i="1"/>
  <c r="Y740" i="1" s="1"/>
  <c r="M700" i="1"/>
  <c r="G151" i="9" s="1"/>
  <c r="M705" i="1"/>
  <c r="E183" i="9" s="1"/>
  <c r="F151" i="9"/>
  <c r="Y765" i="1"/>
  <c r="C215" i="9"/>
  <c r="Y776" i="1"/>
  <c r="D119" i="9"/>
  <c r="Y756" i="1"/>
  <c r="K715" i="1"/>
  <c r="M668" i="1"/>
  <c r="M701" i="1"/>
  <c r="H151" i="9" s="1"/>
  <c r="M697" i="1"/>
  <c r="M678" i="1"/>
  <c r="C183" i="9"/>
  <c r="Y769" i="1"/>
  <c r="M681" i="1"/>
  <c r="M711" i="1"/>
  <c r="Y774" i="1"/>
  <c r="H183" i="9"/>
  <c r="M706" i="1"/>
  <c r="M704" i="1"/>
  <c r="Y770" i="1" s="1"/>
  <c r="M693" i="1"/>
  <c r="G119" i="9" s="1"/>
  <c r="C151" i="9"/>
  <c r="Y762" i="1"/>
  <c r="M689" i="1"/>
  <c r="M675" i="1"/>
  <c r="M673" i="1"/>
  <c r="M707" i="1"/>
  <c r="M709" i="1"/>
  <c r="M672" i="1"/>
  <c r="H119" i="9"/>
  <c r="Y760" i="1"/>
  <c r="M692" i="1"/>
  <c r="F119" i="9" s="1"/>
  <c r="M683" i="1"/>
  <c r="D87" i="9" s="1"/>
  <c r="M680" i="1"/>
  <c r="Y746" i="1" s="1"/>
  <c r="M695" i="1"/>
  <c r="I119" i="9" s="1"/>
  <c r="M686" i="1"/>
  <c r="Y752" i="1" s="1"/>
  <c r="M671" i="1"/>
  <c r="Y737" i="1" s="1"/>
  <c r="M713" i="1"/>
  <c r="M670" i="1"/>
  <c r="E23" i="9" s="1"/>
  <c r="M698" i="1"/>
  <c r="E151" i="9" s="1"/>
  <c r="M712" i="1"/>
  <c r="E215" i="9" s="1"/>
  <c r="M682" i="1"/>
  <c r="Y748" i="1" s="1"/>
  <c r="M685" i="1"/>
  <c r="Y751" i="1" s="1"/>
  <c r="D55" i="9" l="1"/>
  <c r="Y750" i="1"/>
  <c r="Y757" i="1"/>
  <c r="Y745" i="1"/>
  <c r="I151" i="9"/>
  <c r="Y754" i="1"/>
  <c r="Y743" i="1"/>
  <c r="D23" i="9"/>
  <c r="G87" i="9"/>
  <c r="I23" i="9"/>
  <c r="H87" i="9"/>
  <c r="Y767" i="1"/>
  <c r="Y736" i="1"/>
  <c r="Y759" i="1"/>
  <c r="Y766" i="1"/>
  <c r="H55" i="9"/>
  <c r="Y771" i="1"/>
  <c r="Y749" i="1"/>
  <c r="Y758" i="1"/>
  <c r="Y778" i="1"/>
  <c r="Y764" i="1"/>
  <c r="G23" i="9"/>
  <c r="Y738" i="1"/>
  <c r="Y741" i="1"/>
  <c r="C55" i="9"/>
  <c r="Y763" i="1"/>
  <c r="D151" i="9"/>
  <c r="Y779" i="1"/>
  <c r="F215" i="9"/>
  <c r="I183" i="9"/>
  <c r="Y775" i="1"/>
  <c r="C119" i="9"/>
  <c r="Y755" i="1"/>
  <c r="Y777" i="1"/>
  <c r="D215" i="9"/>
  <c r="F55" i="9"/>
  <c r="Y744" i="1"/>
  <c r="Y761" i="1"/>
  <c r="C87" i="9"/>
  <c r="G183" i="9"/>
  <c r="Y773" i="1"/>
  <c r="F183" i="9"/>
  <c r="Y772" i="1"/>
  <c r="Y747" i="1"/>
  <c r="I55" i="9"/>
  <c r="M715" i="1"/>
  <c r="Y734" i="1"/>
  <c r="C23" i="9"/>
  <c r="D183" i="9"/>
  <c r="F87" i="9"/>
  <c r="F23" i="9"/>
  <c r="Y739" i="1"/>
  <c r="H23" i="9"/>
  <c r="Y815" i="1" l="1"/>
</calcChain>
</file>

<file path=xl/sharedStrings.xml><?xml version="1.0" encoding="utf-8"?>
<sst xmlns="http://schemas.openxmlformats.org/spreadsheetml/2006/main" count="4974" uniqueCount="1279">
  <si>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</si>
  <si>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</si>
  <si>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</si>
  <si>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</si>
  <si>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</si>
  <si>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</si>
  <si>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</si>
  <si>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</si>
  <si>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</si>
  <si>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</si>
  <si>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</si>
  <si>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</si>
  <si>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</si>
  <si>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</si>
  <si>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</si>
  <si>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</si>
  <si>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</si>
  <si>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</si>
  <si>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</si>
  <si>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</si>
  <si>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</si>
  <si>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</si>
  <si>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</si>
  <si>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</si>
  <si>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</si>
  <si>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</si>
  <si>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</si>
  <si>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</si>
  <si>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</si>
  <si>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</si>
  <si>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</si>
  <si>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</si>
  <si>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</si>
  <si>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</si>
  <si>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</si>
  <si>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</si>
  <si>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</si>
  <si>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</si>
  <si>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</si>
  <si>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</si>
  <si>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</si>
  <si>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</si>
  <si>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</si>
  <si>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</si>
  <si>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</si>
  <si>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</si>
  <si>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</si>
  <si>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</si>
  <si>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</si>
  <si>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</si>
  <si>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</si>
  <si>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</si>
  <si>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</si>
  <si>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</si>
  <si>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</si>
  <si>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</si>
  <si>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</si>
  <si>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</si>
  <si>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</si>
  <si>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</si>
  <si>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</si>
  <si>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</si>
  <si>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</si>
  <si>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</si>
  <si>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</si>
  <si>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</si>
  <si>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</si>
  <si>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</si>
  <si>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</si>
  <si>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</si>
  <si>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</si>
  <si>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</si>
  <si>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</si>
  <si>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</si>
  <si>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</si>
  <si>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</si>
  <si>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</si>
  <si>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</si>
  <si>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</si>
  <si>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</si>
  <si>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</si>
  <si>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</si>
  <si>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</si>
  <si>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</si>
  <si>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</si>
  <si>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</si>
  <si>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</si>
  <si>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</si>
  <si>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</si>
  <si>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</si>
  <si>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</si>
  <si>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</si>
  <si>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</si>
  <si>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</si>
  <si>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</si>
  <si>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</si>
  <si>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</si>
  <si>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</si>
  <si>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</si>
  <si>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</si>
  <si>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</si>
  <si>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</si>
  <si>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</si>
  <si>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</si>
  <si>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</si>
  <si>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</si>
  <si>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</si>
  <si>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</si>
  <si>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</si>
  <si>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</si>
  <si>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</si>
  <si>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</si>
  <si>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</si>
  <si>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</si>
  <si>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</si>
  <si>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</si>
  <si>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</si>
  <si>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</si>
  <si>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</si>
  <si>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</si>
  <si>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</si>
  <si>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</si>
  <si>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</si>
  <si>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</si>
  <si>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</si>
  <si>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</si>
  <si>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</si>
  <si>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</si>
  <si>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</si>
  <si>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</si>
  <si>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</si>
  <si>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</si>
  <si>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</si>
  <si>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</si>
  <si>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</si>
  <si>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</si>
  <si>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</si>
  <si>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</si>
  <si>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</si>
  <si>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</si>
  <si>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</si>
  <si>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</si>
  <si>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</si>
  <si>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</si>
  <si>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</si>
  <si>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</si>
  <si>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</si>
  <si>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</si>
  <si>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</si>
  <si>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</si>
  <si>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</si>
  <si>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</si>
  <si>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</si>
  <si>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</si>
  <si>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</si>
  <si>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</si>
  <si>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</si>
  <si>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</si>
  <si>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</si>
  <si>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</si>
  <si>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</si>
  <si>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</si>
  <si>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</si>
  <si>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</si>
  <si>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</si>
  <si>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</si>
  <si>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</si>
  <si>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</si>
  <si>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</si>
  <si>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</si>
  <si>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</si>
  <si>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</si>
  <si>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</si>
  <si>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</si>
  <si>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</si>
  <si>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</si>
  <si>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</si>
  <si>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</si>
  <si>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</si>
  <si>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</si>
  <si>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</si>
  <si>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</si>
  <si>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</si>
  <si>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</si>
  <si>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</si>
  <si>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</si>
  <si>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</si>
  <si>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</si>
  <si>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</si>
  <si>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</si>
  <si>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</si>
  <si>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</si>
  <si>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</si>
  <si>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</si>
  <si>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</si>
  <si>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</si>
  <si>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</si>
  <si>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</si>
  <si>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</si>
  <si>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</si>
  <si>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</si>
  <si>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</si>
  <si>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</si>
  <si>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</si>
  <si>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</si>
  <si>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</si>
  <si>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</si>
  <si>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</si>
  <si>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</si>
  <si>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</si>
  <si>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</si>
  <si>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</si>
  <si>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</si>
  <si>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</si>
  <si>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</si>
  <si>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</si>
  <si>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</si>
  <si>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</si>
  <si>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</si>
  <si>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</si>
  <si>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</si>
  <si>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</si>
  <si>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</si>
  <si>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</si>
  <si>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</si>
  <si>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</si>
  <si>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</si>
  <si>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</si>
  <si>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</si>
  <si>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</si>
  <si>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</si>
  <si>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</si>
  <si>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</si>
  <si>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</si>
  <si>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</si>
  <si>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</si>
  <si>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</si>
  <si>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</si>
  <si>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</si>
  <si>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</si>
  <si>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</si>
  <si>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</si>
  <si>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</si>
  <si>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</si>
  <si>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</si>
  <si>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</si>
  <si>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</si>
  <si>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</si>
  <si>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</si>
  <si>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</si>
  <si>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</si>
  <si>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</si>
  <si>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</si>
  <si>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</si>
  <si>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</si>
  <si>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</si>
  <si>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</si>
  <si>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</si>
  <si>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</si>
  <si>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</si>
  <si>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</si>
  <si>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</si>
  <si>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</si>
  <si>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</si>
  <si>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</si>
  <si>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</si>
  <si>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</si>
  <si>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</si>
  <si>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</si>
  <si>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</si>
  <si>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</si>
  <si>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</si>
  <si>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</si>
  <si>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</si>
  <si>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</si>
  <si>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</si>
  <si>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</si>
  <si>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</si>
  <si>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</si>
  <si>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</si>
  <si>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</si>
  <si>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</si>
  <si>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</si>
  <si>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</si>
  <si>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</si>
  <si>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</si>
  <si>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</si>
  <si>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</si>
  <si>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</si>
  <si>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</si>
  <si>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</si>
  <si>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</si>
  <si>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</si>
  <si>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</si>
  <si>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</si>
  <si>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</si>
  <si>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</si>
  <si>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</si>
  <si>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</si>
  <si>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</si>
  <si>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</si>
  <si>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</si>
  <si>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</si>
  <si>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</si>
  <si>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</si>
  <si>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</si>
  <si>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</si>
  <si>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</si>
  <si>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</si>
  <si>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</si>
  <si>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</si>
  <si>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</si>
  <si>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</si>
  <si>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</si>
  <si>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</si>
  <si>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</si>
  <si>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</si>
  <si>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</si>
  <si>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</si>
  <si>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</si>
  <si>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</si>
  <si>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</si>
  <si>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</si>
  <si>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</si>
  <si>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</si>
  <si>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</si>
  <si>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</si>
  <si>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</si>
  <si>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</si>
  <si>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</si>
  <si>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</si>
  <si>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</si>
  <si>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</si>
  <si>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</si>
  <si>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</si>
  <si>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</si>
  <si>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</si>
  <si>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</si>
  <si>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</si>
  <si>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</si>
  <si>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</si>
  <si>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</si>
  <si>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</si>
  <si>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</si>
  <si>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</si>
  <si>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</si>
  <si>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</si>
  <si>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</si>
  <si>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</si>
  <si>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</si>
  <si>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</si>
  <si>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</si>
  <si>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</si>
  <si>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</si>
  <si>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</si>
  <si>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</si>
  <si>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</si>
  <si>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</si>
  <si>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</si>
  <si>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</si>
  <si>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</si>
  <si>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</si>
  <si>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</si>
  <si>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</si>
  <si>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</si>
  <si>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</si>
  <si>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</si>
  <si>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</si>
  <si>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</si>
  <si>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</si>
  <si>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</si>
  <si>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</si>
  <si>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</si>
  <si>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</si>
  <si>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</si>
  <si>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</si>
  <si>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</si>
  <si>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</si>
  <si>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</si>
  <si>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</si>
  <si>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</si>
  <si>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</si>
  <si>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</si>
  <si>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</si>
  <si>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</si>
  <si>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</si>
  <si>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</si>
  <si>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</si>
  <si>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</si>
  <si>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</si>
  <si>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</si>
  <si>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</si>
  <si>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</si>
  <si>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</si>
  <si>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</si>
  <si>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</si>
  <si>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</si>
  <si>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</si>
  <si>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</si>
  <si>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</si>
  <si>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</si>
  <si>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</si>
  <si>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</si>
  <si>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</si>
  <si>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</si>
  <si>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</si>
  <si>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</si>
  <si>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</si>
  <si>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</si>
  <si>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</si>
  <si>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</si>
  <si>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</si>
  <si>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</si>
  <si>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</si>
  <si>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</si>
  <si>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</si>
  <si>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</si>
  <si>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</si>
  <si>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</si>
  <si>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</si>
  <si>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</si>
  <si>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</si>
  <si>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</si>
  <si>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</si>
  <si>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</si>
  <si>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</si>
  <si>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</si>
  <si>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</si>
  <si>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</si>
  <si>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</si>
  <si>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</si>
  <si>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</si>
  <si>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</si>
  <si>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</si>
  <si>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</si>
  <si>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</si>
  <si>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</si>
  <si>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</si>
  <si>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</si>
  <si>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</si>
  <si>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</si>
  <si>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</si>
  <si>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</si>
  <si>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</si>
  <si>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</si>
  <si>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</si>
  <si>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</si>
  <si>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</si>
  <si>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</si>
  <si>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</si>
  <si>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</si>
  <si>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</si>
  <si>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</si>
  <si>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</si>
  <si>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</si>
  <si>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</si>
  <si>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</si>
  <si>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</si>
  <si>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</si>
  <si>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</si>
  <si>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</si>
  <si>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</si>
  <si>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</si>
  <si>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</si>
  <si>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</si>
  <si>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</si>
  <si>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</si>
  <si>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</si>
  <si>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</si>
  <si>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</si>
  <si>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</si>
  <si>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</si>
  <si>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</si>
  <si>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</si>
  <si>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</si>
  <si>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</si>
  <si>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</si>
  <si>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</si>
  <si>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</si>
  <si>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</si>
  <si>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</si>
  <si>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</si>
  <si>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</si>
  <si>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</si>
  <si>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</si>
  <si>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</si>
  <si>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</si>
  <si>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</si>
  <si>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</si>
  <si>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</si>
  <si>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</si>
  <si>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</si>
  <si>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</si>
  <si>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</si>
  <si>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</si>
  <si>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</si>
  <si>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</si>
  <si>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</si>
  <si>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</si>
  <si>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</si>
  <si>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</si>
  <si>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</si>
  <si>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</si>
  <si>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</si>
  <si>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</si>
  <si>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</si>
  <si>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</si>
  <si>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</si>
  <si>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</si>
  <si>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</si>
  <si>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</si>
  <si>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</si>
  <si>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</si>
  <si>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</si>
  <si>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</si>
  <si>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</si>
  <si>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</si>
  <si>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</si>
  <si>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</si>
  <si>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</si>
  <si>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</si>
  <si>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</si>
  <si>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</si>
  <si>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</si>
  <si>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</si>
  <si>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</si>
  <si>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</si>
  <si>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</si>
  <si>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</si>
  <si>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</si>
  <si>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</si>
  <si>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</si>
  <si>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</si>
  <si>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</si>
  <si>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</si>
  <si>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</si>
  <si>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</si>
  <si>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</si>
  <si>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</si>
  <si>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</si>
  <si>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</si>
  <si>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</si>
  <si>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</si>
  <si>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</si>
  <si>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</si>
  <si>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</si>
  <si>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</si>
  <si>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</si>
  <si>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</si>
  <si>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</si>
  <si>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</si>
  <si>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</si>
  <si>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</si>
  <si>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</si>
  <si>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</si>
  <si>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</si>
  <si>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</si>
  <si>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</si>
  <si>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</si>
  <si>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</si>
  <si>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</si>
  <si>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</si>
  <si>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</si>
  <si>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</si>
  <si>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</si>
  <si>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</si>
  <si>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</si>
  <si>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</si>
  <si>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</si>
  <si>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</si>
  <si>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</si>
  <si>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</si>
  <si>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</si>
  <si>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</si>
  <si>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</si>
  <si>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</si>
  <si>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</si>
  <si>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</si>
  <si>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</si>
  <si>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</si>
  <si>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</si>
  <si>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</si>
  <si>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</si>
  <si>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</si>
  <si>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</si>
  <si>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</si>
  <si>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</si>
  <si>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</si>
  <si>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</si>
  <si>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</si>
  <si>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</si>
  <si>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</si>
  <si>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</si>
  <si>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</si>
  <si>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</si>
  <si>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</si>
  <si>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</si>
  <si>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</si>
  <si>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</si>
  <si>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</si>
  <si>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</si>
  <si>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</si>
  <si>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</si>
  <si>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</si>
  <si>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</si>
  <si>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</si>
  <si>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</si>
  <si>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</si>
  <si>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</si>
  <si>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</si>
  <si>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</si>
  <si>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</si>
  <si>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</si>
  <si>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</si>
  <si>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</si>
  <si>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</si>
  <si>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</si>
  <si>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</si>
  <si>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</si>
  <si>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</si>
  <si>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</si>
  <si>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</si>
  <si>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</si>
  <si>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</si>
  <si>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</si>
  <si>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</si>
  <si>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</si>
  <si>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</si>
  <si>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</si>
  <si>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</si>
  <si>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</si>
  <si>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</si>
  <si>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</si>
  <si>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</si>
  <si>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</si>
  <si>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</si>
  <si>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</si>
  <si>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</si>
  <si>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</si>
  <si>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</si>
  <si>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</si>
  <si>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</si>
  <si>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</si>
  <si>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</si>
  <si>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</si>
  <si>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</si>
  <si>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</si>
  <si>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</si>
  <si>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</si>
  <si>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</si>
  <si>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</si>
  <si>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</si>
  <si>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</si>
  <si>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</si>
  <si>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</si>
  <si>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</si>
  <si>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</si>
  <si>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</si>
  <si>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</si>
  <si>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</si>
  <si>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</si>
  <si>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</si>
  <si>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</si>
  <si>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</si>
  <si>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</si>
  <si>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</si>
  <si>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</si>
  <si>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</si>
  <si>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</si>
  <si>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</si>
  <si>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</si>
  <si>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</si>
  <si>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</si>
  <si>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</si>
  <si>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</si>
  <si>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</si>
  <si>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</si>
  <si>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</si>
  <si>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</si>
  <si>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</si>
  <si>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</si>
  <si>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</si>
  <si>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</si>
  <si>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</si>
  <si>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</si>
  <si>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</si>
  <si>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</si>
  <si>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</si>
  <si>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</si>
  <si>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</si>
  <si>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</si>
  <si>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</si>
  <si>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</si>
  <si>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</si>
  <si>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</si>
  <si>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</si>
  <si>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</si>
  <si>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</si>
  <si>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</si>
  <si>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</si>
  <si>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</si>
  <si>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</si>
  <si>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</si>
  <si>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</si>
  <si>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</si>
  <si>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</si>
  <si>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</si>
  <si>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</si>
  <si>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</si>
  <si>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</si>
  <si>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</si>
  <si>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</si>
  <si>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</si>
  <si>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</si>
  <si>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</si>
  <si>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</si>
  <si>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</si>
  <si>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</si>
  <si>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</si>
  <si>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</si>
  <si>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</si>
  <si>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</si>
  <si>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</si>
  <si>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</si>
  <si>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</si>
  <si>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</si>
  <si>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</si>
  <si>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</si>
  <si>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</si>
  <si>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</si>
  <si>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</si>
  <si>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</si>
  <si>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</si>
  <si>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</si>
  <si>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</si>
  <si>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</si>
  <si>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</si>
  <si>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</si>
  <si>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</si>
  <si>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</si>
  <si>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</si>
  <si>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</si>
  <si>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</si>
  <si>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</si>
  <si>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</si>
  <si>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</si>
  <si>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</si>
  <si>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</si>
  <si>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</si>
  <si>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</si>
  <si>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</si>
  <si>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</si>
  <si>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</si>
  <si>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</si>
  <si>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</si>
  <si>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</si>
  <si>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</si>
  <si>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</si>
  <si>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</si>
  <si>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</si>
  <si>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</si>
  <si>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</si>
  <si>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</si>
  <si>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</si>
  <si>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</si>
  <si>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</si>
  <si>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</si>
  <si>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</si>
  <si>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</si>
  <si>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</si>
  <si>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</si>
  <si>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</si>
  <si>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</si>
  <si>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</si>
  <si>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</si>
  <si>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</si>
  <si>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</si>
  <si>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</si>
  <si>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</si>
  <si>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</si>
  <si>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</si>
  <si>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</si>
  <si>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</si>
  <si>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</si>
  <si>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</si>
  <si>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</si>
  <si>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</si>
  <si>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</si>
  <si>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</si>
  <si>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</si>
  <si>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</si>
  <si>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</si>
  <si>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</si>
  <si>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</si>
  <si>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</si>
  <si>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</si>
  <si>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</si>
  <si>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</si>
  <si>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</si>
  <si>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</si>
  <si>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</si>
  <si>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</si>
  <si>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</si>
  <si>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</si>
  <si>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</si>
  <si>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</si>
  <si>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</si>
  <si>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</si>
  <si>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</si>
  <si>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</si>
  <si>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</si>
  <si>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</si>
  <si>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</si>
  <si>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</si>
  <si>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</si>
  <si>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</si>
  <si>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</si>
  <si>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</si>
  <si>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</si>
  <si>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</si>
  <si>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</si>
  <si>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</si>
  <si>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</si>
  <si>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</si>
  <si>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</si>
  <si>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</si>
  <si>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</si>
  <si>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</si>
  <si>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</si>
  <si>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</si>
  <si>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</si>
  <si>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</si>
  <si>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</si>
  <si>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</si>
  <si>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</si>
  <si>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</si>
  <si>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</si>
  <si>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</si>
  <si>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</si>
  <si>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</si>
  <si>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</si>
  <si>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</si>
  <si>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</si>
  <si>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</si>
  <si>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</si>
  <si>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</si>
  <si>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</si>
  <si>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</si>
  <si>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</si>
  <si>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</si>
  <si>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</si>
  <si>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</si>
  <si>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</si>
  <si>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</si>
  <si>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</si>
  <si>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</si>
  <si>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</si>
  <si>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</si>
  <si>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</si>
  <si>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</si>
  <si>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</si>
  <si>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</si>
  <si>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</si>
  <si>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</si>
  <si>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</si>
  <si>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</si>
  <si>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</si>
  <si>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</si>
  <si>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</si>
  <si>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</si>
  <si>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</si>
  <si>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</si>
  <si>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</si>
  <si>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</si>
  <si>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</si>
  <si>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</si>
  <si>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</si>
  <si>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</si>
  <si>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</si>
  <si>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</si>
  <si>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</si>
  <si>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</si>
  <si>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</si>
  <si>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</si>
  <si>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</si>
  <si>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</si>
  <si>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</si>
  <si>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</si>
  <si>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</si>
  <si>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</si>
  <si>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</si>
  <si>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</si>
  <si>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</si>
  <si>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</si>
  <si>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</si>
  <si>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</si>
  <si>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</si>
  <si>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</si>
  <si>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</si>
  <si>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</si>
  <si>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</si>
  <si>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</si>
  <si>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</si>
  <si>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</si>
  <si>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</si>
  <si>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</si>
  <si>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</si>
  <si>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</si>
  <si>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</si>
  <si>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</si>
  <si>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</si>
  <si>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</si>
  <si>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</si>
  <si>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</si>
  <si>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</si>
  <si>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</si>
  <si>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</si>
  <si>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</si>
  <si>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</si>
  <si>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</si>
  <si>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</si>
  <si>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</si>
  <si>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</si>
  <si>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</si>
  <si>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</si>
  <si>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</si>
  <si>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</si>
  <si>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</si>
  <si>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</si>
  <si>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</si>
  <si>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</si>
  <si>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</si>
  <si>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</si>
  <si>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</si>
  <si>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</si>
  <si>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</si>
  <si>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</si>
  <si>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</si>
  <si>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</si>
  <si>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</si>
  <si>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</si>
  <si>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</si>
  <si>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</si>
  <si>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</si>
  <si>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</si>
  <si>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</si>
  <si>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</si>
  <si>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</si>
  <si>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</si>
  <si>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</si>
  <si>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</si>
  <si>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</si>
  <si>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</si>
  <si>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</si>
  <si>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</si>
  <si>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</si>
  <si>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</si>
  <si>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</si>
  <si>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</si>
  <si>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</si>
  <si>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</si>
  <si>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</si>
  <si>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</si>
  <si>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</si>
  <si>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</si>
  <si>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</si>
  <si>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</si>
  <si>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</si>
  <si>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</si>
  <si>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</si>
  <si>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</si>
  <si>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</si>
  <si>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</si>
  <si>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</si>
  <si>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</si>
  <si>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</si>
  <si>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</si>
  <si>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</si>
  <si>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</si>
  <si>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</si>
  <si>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</si>
  <si>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</si>
  <si>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</si>
  <si>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</si>
  <si>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</si>
  <si>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</si>
  <si>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</si>
  <si>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</si>
  <si>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</si>
  <si>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</si>
  <si>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</si>
  <si>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</si>
  <si>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</si>
  <si>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</si>
  <si>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</si>
  <si>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</si>
  <si>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</si>
  <si>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</si>
  <si>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</si>
  <si>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</si>
  <si>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</si>
  <si>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</si>
  <si>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</si>
  <si>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</si>
  <si>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</si>
  <si>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</si>
  <si>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</si>
  <si>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</si>
  <si>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</si>
  <si>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</si>
  <si>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</si>
  <si>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</si>
  <si>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</si>
  <si>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</si>
  <si>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</si>
  <si>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</si>
  <si>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</si>
  <si>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</si>
  <si>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</si>
  <si>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</si>
  <si>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</si>
  <si>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</si>
  <si>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</si>
  <si>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</si>
  <si>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</si>
  <si>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</si>
  <si>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</si>
  <si>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</si>
  <si>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</si>
  <si>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</si>
  <si>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</si>
  <si>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</si>
  <si>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</si>
  <si>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</si>
  <si>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</si>
  <si>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</si>
  <si>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</si>
  <si>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</si>
  <si>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</si>
  <si>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</si>
  <si>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</si>
  <si>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</si>
  <si>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</si>
  <si>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</si>
  <si>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</si>
  <si>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</si>
  <si>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</si>
  <si>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</si>
  <si>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</si>
  <si>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</si>
  <si>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</si>
  <si>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</si>
  <si>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</si>
  <si>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</si>
  <si>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</si>
  <si>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</si>
  <si>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</si>
  <si>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</si>
  <si>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</si>
  <si>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</si>
  <si>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</si>
  <si>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</si>
  <si>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</si>
  <si>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</si>
  <si>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</si>
  <si>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</si>
  <si>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</si>
  <si>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</si>
  <si>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</si>
  <si>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</si>
  <si>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</si>
  <si>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</si>
  <si>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</si>
  <si>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</si>
  <si>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</si>
  <si>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</si>
  <si>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</si>
  <si>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</si>
  <si>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</si>
  <si>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</si>
  <si>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</si>
  <si>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</si>
  <si>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</si>
  <si>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</si>
  <si>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</si>
  <si>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</si>
  <si>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</si>
  <si>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</si>
  <si>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</si>
  <si>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</si>
  <si>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</si>
  <si>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</si>
  <si>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</si>
  <si>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</si>
  <si>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</si>
  <si>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</si>
  <si>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</si>
  <si>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</si>
  <si>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</si>
  <si>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</si>
  <si>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</si>
  <si>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</si>
  <si>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</si>
  <si>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</si>
  <si>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</si>
  <si>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</si>
  <si>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</si>
  <si>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</si>
  <si>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</si>
  <si>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</si>
  <si>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</si>
  <si>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</si>
  <si>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</si>
  <si>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</si>
  <si>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</si>
  <si>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</si>
  <si>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</si>
  <si>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</si>
  <si>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</si>
  <si>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</si>
  <si>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</si>
  <si>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</si>
  <si>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</si>
  <si>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</si>
  <si>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</si>
  <si>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</si>
  <si>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</si>
  <si>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</si>
  <si>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</si>
  <si>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</si>
  <si>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</si>
  <si>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</si>
  <si>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</si>
  <si>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</si>
  <si>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</si>
  <si>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</si>
  <si>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</si>
  <si>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</si>
  <si>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</si>
  <si>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</si>
  <si>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</si>
  <si>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</si>
  <si>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</si>
  <si>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</si>
  <si>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</si>
  <si>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</si>
  <si>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</si>
  <si>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</si>
  <si>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</si>
  <si>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</si>
  <si>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</si>
  <si>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</si>
  <si>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</si>
  <si>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</si>
  <si>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</si>
  <si>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</si>
  <si>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</si>
  <si>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</si>
  <si>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</si>
  <si>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</si>
  <si>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</si>
  <si>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</si>
  <si>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</si>
  <si>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</si>
  <si>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</si>
  <si>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</si>
  <si>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</si>
  <si>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</si>
  <si>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</si>
  <si>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</si>
  <si>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</si>
  <si>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</si>
  <si>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</si>
  <si>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</si>
  <si>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</si>
  <si>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</si>
  <si>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</si>
  <si>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</si>
  <si>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</si>
  <si>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</si>
  <si>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</si>
  <si>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</si>
  <si>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</si>
  <si>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</si>
  <si>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</si>
  <si>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</si>
  <si>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</si>
  <si>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</si>
  <si>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</si>
  <si>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</si>
  <si>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</si>
  <si>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</si>
  <si>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</si>
  <si>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</si>
  <si>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</si>
  <si>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</si>
  <si>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</si>
  <si>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</si>
  <si>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</si>
  <si>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</si>
  <si>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</si>
  <si>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</si>
  <si>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</si>
  <si>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</si>
  <si>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</si>
  <si>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</si>
  <si>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</si>
  <si>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</si>
  <si>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</si>
  <si>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</si>
  <si>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</si>
  <si>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</si>
  <si>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</si>
  <si>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</si>
  <si>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</si>
  <si>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</si>
  <si>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</si>
  <si>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</si>
  <si>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</si>
  <si>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</si>
  <si>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</si>
  <si>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</si>
  <si>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</si>
  <si>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</si>
  <si>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</si>
  <si>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</si>
  <si>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</si>
  <si>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</si>
  <si>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</si>
  <si>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</si>
  <si>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</si>
  <si>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</si>
  <si>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</si>
  <si>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</si>
  <si>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</si>
  <si>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</si>
  <si>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</si>
  <si>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</si>
  <si>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</si>
  <si>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</si>
  <si>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</si>
  <si>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</si>
  <si>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</si>
  <si>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</si>
  <si>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</si>
  <si>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</si>
  <si>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</si>
  <si>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</si>
  <si>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</si>
  <si>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</si>
  <si>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</si>
  <si>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</si>
  <si>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</si>
  <si>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</si>
  <si>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</si>
  <si>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</si>
  <si>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</si>
  <si>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</si>
  <si>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</si>
  <si>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</si>
  <si>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</si>
  <si>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</si>
  <si>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</si>
  <si>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</si>
  <si>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</si>
  <si>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</si>
  <si>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164</t>
  </si>
  <si>
    <t>12040 NE 128th Street</t>
  </si>
  <si>
    <t>Kirkland, WA 98034</t>
  </si>
  <si>
    <t>King</t>
  </si>
  <si>
    <t>Jeff Tomlin</t>
  </si>
  <si>
    <t>Tina Mycroft</t>
  </si>
  <si>
    <t>425-899-1000</t>
  </si>
  <si>
    <t>EvergreenHealth Kirkland / King Country Public Hos #2</t>
  </si>
  <si>
    <t>X</t>
  </si>
  <si>
    <t>Tim McLaughlin</t>
  </si>
  <si>
    <t>12/31/2020</t>
  </si>
  <si>
    <t>425-899-1684</t>
  </si>
  <si>
    <t>Jeff Tomlin,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</si>
</sst>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theme="0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2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0" borderId="1" xfId="0" applyNumberFormat="1" applyFont="1" applyFill="1" applyBorder="1" applyProtection="1">
      <protection locked="0"/>
    </xf>
    <xf numFmtId="37" fontId="5" fillId="0" borderId="1" xfId="0" applyFont="1" applyBorder="1" applyProtection="1"/>
    <xf numFmtId="37" fontId="17" fillId="0" borderId="0" xfId="0" applyFont="1" applyProtection="1"/>
    <xf numFmtId="37" fontId="11" fillId="0" borderId="1" xfId="0" quotePrefix="1" applyNumberFormat="1" applyFont="1" applyFill="1" applyBorder="1" applyProtection="1">
      <protection locked="0"/>
    </xf>
    <xf numFmtId="37" fontId="5" fillId="9" borderId="0" xfId="0" applyFont="1" applyFill="1" applyProtection="1"/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Departments1\Accounting\Surveys,%20Databank,%20and%20Dept%20of%20Health\Department%20of%20Health%20DOH\2019%20-%20Dept%20of%20Health%20reporting\2019%20DOH%20Annual%20Year%20End%20Report\YE164-2019%20EvergreenHealth%20Kirk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4913</v>
          </cell>
          <cell r="D59">
            <v>9676</v>
          </cell>
          <cell r="E59">
            <v>33334</v>
          </cell>
          <cell r="G59">
            <v>3183</v>
          </cell>
          <cell r="M59">
            <v>3828</v>
          </cell>
          <cell r="O59">
            <v>4552</v>
          </cell>
          <cell r="P59">
            <v>908664</v>
          </cell>
          <cell r="Q59">
            <v>1509023</v>
          </cell>
          <cell r="R59">
            <v>947293</v>
          </cell>
          <cell r="U59">
            <v>804851</v>
          </cell>
          <cell r="W59">
            <v>35394.33</v>
          </cell>
          <cell r="X59">
            <v>130386.44</v>
          </cell>
          <cell r="Y59">
            <v>356012.05</v>
          </cell>
          <cell r="Z59">
            <v>52817.56</v>
          </cell>
          <cell r="AA59">
            <v>14083.609999999999</v>
          </cell>
          <cell r="AC59">
            <v>27204.33</v>
          </cell>
          <cell r="AE59">
            <v>83563.179999999993</v>
          </cell>
          <cell r="AG59">
            <v>57153</v>
          </cell>
          <cell r="AJ59">
            <v>274894</v>
          </cell>
          <cell r="AP59">
            <v>328699</v>
          </cell>
          <cell r="AZ59">
            <v>795431.23</v>
          </cell>
          <cell r="BE59">
            <v>782365</v>
          </cell>
        </row>
        <row r="71">
          <cell r="C71">
            <v>19686610.655999996</v>
          </cell>
          <cell r="D71">
            <v>10957247.251000002</v>
          </cell>
          <cell r="E71">
            <v>28745577.133000001</v>
          </cell>
          <cell r="F71">
            <v>0</v>
          </cell>
          <cell r="G71">
            <v>2221140.7279999997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5980549.5099999998</v>
          </cell>
          <cell r="N71">
            <v>16204315.480000002</v>
          </cell>
          <cell r="O71">
            <v>25074429.68</v>
          </cell>
          <cell r="P71">
            <v>59588662.580999993</v>
          </cell>
          <cell r="Q71">
            <v>5202835.0200000005</v>
          </cell>
          <cell r="R71">
            <v>1301681.49</v>
          </cell>
          <cell r="S71">
            <v>2702378.54</v>
          </cell>
          <cell r="T71">
            <v>0</v>
          </cell>
          <cell r="U71">
            <v>15098929.093</v>
          </cell>
          <cell r="V71">
            <v>202149.05</v>
          </cell>
          <cell r="W71">
            <v>1336194.5649999999</v>
          </cell>
          <cell r="X71">
            <v>2380105.66</v>
          </cell>
          <cell r="Y71">
            <v>28322076.506999999</v>
          </cell>
          <cell r="Z71">
            <v>7980554.0899999999</v>
          </cell>
          <cell r="AA71">
            <v>1127679.8</v>
          </cell>
          <cell r="AB71">
            <v>23759705.399999995</v>
          </cell>
          <cell r="AC71">
            <v>3016690.7000000007</v>
          </cell>
          <cell r="AD71">
            <v>0</v>
          </cell>
          <cell r="AE71">
            <v>6833640.1499999994</v>
          </cell>
          <cell r="AF71">
            <v>0</v>
          </cell>
          <cell r="AG71">
            <v>16032838.036</v>
          </cell>
          <cell r="AH71">
            <v>0</v>
          </cell>
          <cell r="AI71">
            <v>0</v>
          </cell>
          <cell r="AJ71">
            <v>92175443.554999992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68084707.111000001</v>
          </cell>
          <cell r="AQ71">
            <v>0</v>
          </cell>
          <cell r="AR71">
            <v>63271759.472000003</v>
          </cell>
          <cell r="AS71">
            <v>0</v>
          </cell>
          <cell r="AT71">
            <v>0</v>
          </cell>
          <cell r="AU71">
            <v>0</v>
          </cell>
          <cell r="AV71">
            <v>3099763.5199999986</v>
          </cell>
          <cell r="AW71">
            <v>-179547.14899999974</v>
          </cell>
          <cell r="AX71">
            <v>3854968.9819999998</v>
          </cell>
          <cell r="AY71">
            <v>0</v>
          </cell>
          <cell r="AZ71">
            <v>4344413.7059999993</v>
          </cell>
          <cell r="BA71">
            <v>373719.39999999997</v>
          </cell>
          <cell r="BB71">
            <v>240526.33999999997</v>
          </cell>
          <cell r="BC71">
            <v>447925.42999999993</v>
          </cell>
          <cell r="BD71">
            <v>2794288.4400000009</v>
          </cell>
          <cell r="BE71">
            <v>15547051.300000003</v>
          </cell>
          <cell r="BF71">
            <v>5809572.1299999999</v>
          </cell>
          <cell r="BG71">
            <v>2269557.4299999997</v>
          </cell>
          <cell r="BH71">
            <v>28912914.355</v>
          </cell>
          <cell r="BI71">
            <v>2697600.46</v>
          </cell>
          <cell r="BJ71">
            <v>1942339.1099999996</v>
          </cell>
          <cell r="BK71">
            <v>10387670.100000001</v>
          </cell>
          <cell r="BL71">
            <v>4368500.68</v>
          </cell>
          <cell r="BM71">
            <v>3867644.55</v>
          </cell>
          <cell r="BN71">
            <v>12445542.48</v>
          </cell>
          <cell r="BO71">
            <v>1097067.9879999999</v>
          </cell>
          <cell r="BP71">
            <v>4365665.169999999</v>
          </cell>
          <cell r="BQ71">
            <v>491671.6399999999</v>
          </cell>
          <cell r="BR71">
            <v>4382053.5999999996</v>
          </cell>
          <cell r="BS71">
            <v>133740.64000000001</v>
          </cell>
          <cell r="BT71">
            <v>200624.88999999998</v>
          </cell>
          <cell r="BU71">
            <v>230371.04</v>
          </cell>
          <cell r="BV71">
            <v>6058922.1120000007</v>
          </cell>
          <cell r="BW71">
            <v>2728504.1569999992</v>
          </cell>
          <cell r="BX71">
            <v>7176595.5000000019</v>
          </cell>
          <cell r="BY71">
            <v>2407243.61</v>
          </cell>
          <cell r="BZ71">
            <v>4182646.41</v>
          </cell>
          <cell r="CA71">
            <v>2234503.3899999997</v>
          </cell>
          <cell r="CB71">
            <v>5248482.4470000006</v>
          </cell>
          <cell r="CC71">
            <v>-520160.38000000082</v>
          </cell>
          <cell r="CD71">
            <v>9820816.5699999984</v>
          </cell>
        </row>
        <row r="82">
          <cell r="C82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80" transitionEvaluation="1" transitionEntry="1" codeName="Sheet1">
    <pageSetUpPr autoPageBreaks="0" fitToPage="1"/>
  </sheetPr>
  <dimension ref="A1:CI817"/>
  <sheetViews>
    <sheetView showGridLines="0" tabSelected="1" topLeftCell="A31" zoomScale="75" zoomScaleNormal="75" workbookViewId="0">
      <pane xSplit="2" ySplit="16" topLeftCell="C80" activePane="bottomRight" state="frozen"/>
      <selection activeCell="A31" sqref="A31"/>
      <selection pane="topRight" activeCell="C31" sqref="C31"/>
      <selection pane="bottomLeft" activeCell="A47" sqref="A47"/>
      <selection pane="bottomRight" activeCell="A81" sqref="A8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7" ht="12.65" customHeight="1" x14ac:dyDescent="0.35">
      <c r="A33" s="198" t="s">
        <v>1237</v>
      </c>
      <c r="C33" s="236"/>
    </row>
    <row r="34" spans="1:87" ht="12.65" customHeight="1" x14ac:dyDescent="0.35">
      <c r="A34" s="199" t="s">
        <v>9</v>
      </c>
      <c r="C34" s="236"/>
    </row>
    <row r="35" spans="1:87" ht="12.65" customHeight="1" x14ac:dyDescent="0.35">
      <c r="A35" s="199"/>
      <c r="C35" s="236"/>
    </row>
    <row r="36" spans="1:87" ht="12.65" customHeight="1" x14ac:dyDescent="0.35">
      <c r="A36" s="198" t="s">
        <v>1238</v>
      </c>
      <c r="C36" s="236"/>
    </row>
    <row r="37" spans="1:87" ht="12.65" customHeight="1" x14ac:dyDescent="0.35">
      <c r="A37" s="199" t="s">
        <v>1229</v>
      </c>
      <c r="C37" s="236"/>
    </row>
    <row r="38" spans="1:87" ht="12" customHeight="1" x14ac:dyDescent="0.35">
      <c r="A38" s="198"/>
      <c r="C38" s="236"/>
    </row>
    <row r="39" spans="1:87" ht="12.65" customHeight="1" x14ac:dyDescent="0.35">
      <c r="A39" s="199"/>
      <c r="C39" s="236"/>
    </row>
    <row r="40" spans="1:87" ht="12" customHeight="1" x14ac:dyDescent="0.35">
      <c r="A40" s="199"/>
      <c r="C40" s="236"/>
    </row>
    <row r="41" spans="1:87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7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7" ht="12" customHeight="1" x14ac:dyDescent="0.35">
      <c r="A43" s="199"/>
      <c r="C43" s="236"/>
      <c r="F43" s="181"/>
      <c r="H43" s="290"/>
      <c r="I43" s="290"/>
      <c r="J43" s="290"/>
      <c r="K43" s="290"/>
      <c r="L43" s="290"/>
      <c r="AF43" s="290"/>
      <c r="AK43" s="290"/>
      <c r="AL43" s="290"/>
      <c r="AM43" s="290"/>
      <c r="AN43" s="290"/>
      <c r="AO43" s="290"/>
      <c r="AQ43" s="290"/>
      <c r="AT43" s="290"/>
      <c r="AU43" s="290"/>
      <c r="AY43" s="290"/>
    </row>
    <row r="44" spans="1:87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7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7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7" ht="12.65" customHeight="1" x14ac:dyDescent="0.35">
      <c r="A47" s="175" t="s">
        <v>204</v>
      </c>
      <c r="B47" s="183"/>
      <c r="C47" s="184">
        <v>3288102.9699999997</v>
      </c>
      <c r="D47" s="184">
        <v>1600618.77</v>
      </c>
      <c r="E47" s="184">
        <v>5156004.04</v>
      </c>
      <c r="F47" s="184">
        <v>165642.13</v>
      </c>
      <c r="G47" s="184">
        <v>477338.73</v>
      </c>
      <c r="H47" s="184"/>
      <c r="I47" s="184"/>
      <c r="J47" s="184"/>
      <c r="K47" s="184"/>
      <c r="L47" s="184"/>
      <c r="M47" s="289">
        <f>1040236.77+212492</f>
        <v>1252728.77</v>
      </c>
      <c r="N47" s="184">
        <v>2772751.91</v>
      </c>
      <c r="O47" s="184">
        <v>4421023.2699999996</v>
      </c>
      <c r="P47" s="184">
        <v>2271689.7799999998</v>
      </c>
      <c r="Q47" s="184">
        <v>1485546.24</v>
      </c>
      <c r="R47" s="184">
        <v>130977.53</v>
      </c>
      <c r="S47" s="184">
        <v>302559.38</v>
      </c>
      <c r="T47" s="184">
        <v>0</v>
      </c>
      <c r="U47" s="184">
        <v>1543836.8</v>
      </c>
      <c r="V47" s="184">
        <v>40156.399999999994</v>
      </c>
      <c r="W47" s="184">
        <v>128126</v>
      </c>
      <c r="X47" s="184">
        <v>269026.37999999995</v>
      </c>
      <c r="Y47" s="184">
        <v>3308639.68</v>
      </c>
      <c r="Z47" s="184">
        <v>714784.3899999999</v>
      </c>
      <c r="AA47" s="184">
        <v>79950.179999999993</v>
      </c>
      <c r="AB47" s="184">
        <v>1361835.74</v>
      </c>
      <c r="AC47" s="184">
        <v>580148.8600000001</v>
      </c>
      <c r="AD47" s="184">
        <v>0</v>
      </c>
      <c r="AE47" s="184">
        <v>1233555.6000000001</v>
      </c>
      <c r="AF47" s="184"/>
      <c r="AG47" s="184">
        <v>2589662.54</v>
      </c>
      <c r="AH47" s="184">
        <v>0</v>
      </c>
      <c r="AI47" s="184">
        <v>0</v>
      </c>
      <c r="AJ47" s="184">
        <v>13459315.960000001</v>
      </c>
      <c r="AK47" s="184"/>
      <c r="AL47" s="184"/>
      <c r="AM47" s="184"/>
      <c r="AN47" s="184"/>
      <c r="AO47" s="184"/>
      <c r="AP47" s="184">
        <v>9838402.8000000007</v>
      </c>
      <c r="AQ47" s="184"/>
      <c r="AR47" s="184">
        <f>9347105.48+1912430</f>
        <v>11259535.48</v>
      </c>
      <c r="AS47" s="184">
        <v>0</v>
      </c>
      <c r="AT47" s="184"/>
      <c r="AU47" s="184"/>
      <c r="AV47" s="184">
        <v>569247.58000000007</v>
      </c>
      <c r="AW47" s="184">
        <v>267099.71000000002</v>
      </c>
      <c r="AX47" s="184">
        <v>0</v>
      </c>
      <c r="AY47" s="184"/>
      <c r="AZ47" s="184">
        <v>959883.87000000011</v>
      </c>
      <c r="BA47" s="184">
        <v>99159.73</v>
      </c>
      <c r="BB47" s="184">
        <v>0</v>
      </c>
      <c r="BC47" s="184">
        <v>62754.729999999996</v>
      </c>
      <c r="BD47" s="184">
        <v>670298.25</v>
      </c>
      <c r="BE47" s="184">
        <v>972365.07999999984</v>
      </c>
      <c r="BF47" s="184">
        <v>1611246.91</v>
      </c>
      <c r="BG47" s="184">
        <v>310741.91000000003</v>
      </c>
      <c r="BH47" s="184">
        <v>2911016.1700000004</v>
      </c>
      <c r="BI47" s="184">
        <v>436088.64</v>
      </c>
      <c r="BJ47" s="184">
        <v>386281.22</v>
      </c>
      <c r="BK47" s="184">
        <v>1528602.68</v>
      </c>
      <c r="BL47" s="184">
        <v>1306572.29</v>
      </c>
      <c r="BM47" s="184">
        <v>893767.62</v>
      </c>
      <c r="BN47" s="184">
        <v>1016450.32</v>
      </c>
      <c r="BO47" s="184">
        <v>176257.79</v>
      </c>
      <c r="BP47" s="184">
        <v>304715.88</v>
      </c>
      <c r="BQ47" s="184">
        <v>117533.15</v>
      </c>
      <c r="BR47" s="184">
        <f>673901.84+131613.91</f>
        <v>805515.75</v>
      </c>
      <c r="BS47" s="184">
        <v>81636.850000000006</v>
      </c>
      <c r="BT47" s="184">
        <v>53255.72</v>
      </c>
      <c r="BU47" s="184">
        <v>0</v>
      </c>
      <c r="BV47" s="184">
        <v>1116111.01</v>
      </c>
      <c r="BW47" s="184">
        <v>153925.51999999999</v>
      </c>
      <c r="BX47" s="184">
        <v>1305347.94</v>
      </c>
      <c r="BY47" s="184">
        <v>345927.12</v>
      </c>
      <c r="BZ47" s="184">
        <v>1404739.06</v>
      </c>
      <c r="CA47" s="184">
        <v>362051.16000000003</v>
      </c>
      <c r="CB47" s="184">
        <v>1514611.41</v>
      </c>
      <c r="CC47" s="184">
        <f>1171903.35-147994.38</f>
        <v>1023908.9700000001</v>
      </c>
      <c r="CD47" s="195"/>
      <c r="CE47" s="195">
        <f>SUM(C47:CC47)</f>
        <v>92499074.37000002</v>
      </c>
      <c r="CH47" s="288"/>
      <c r="CI47" s="288"/>
    </row>
    <row r="48" spans="1:87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  <c r="CH48" s="288"/>
      <c r="CI48" s="288"/>
    </row>
    <row r="49" spans="1:87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H49" s="288"/>
      <c r="CI49" s="288"/>
    </row>
    <row r="50" spans="1:87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H50" s="288"/>
      <c r="CI50" s="288"/>
    </row>
    <row r="51" spans="1:87" ht="12.65" customHeight="1" x14ac:dyDescent="0.35">
      <c r="A51" s="171" t="s">
        <v>207</v>
      </c>
      <c r="B51" s="184"/>
      <c r="C51" s="184">
        <v>368068.93000000005</v>
      </c>
      <c r="D51" s="184">
        <v>1567883.6099999999</v>
      </c>
      <c r="E51" s="184">
        <v>2298275.62</v>
      </c>
      <c r="F51" s="184">
        <v>0</v>
      </c>
      <c r="G51" s="184">
        <v>101730.62</v>
      </c>
      <c r="H51" s="184"/>
      <c r="I51" s="184"/>
      <c r="J51" s="184"/>
      <c r="K51" s="184"/>
      <c r="L51" s="184"/>
      <c r="M51" s="184">
        <f>103559.69+10882.32</f>
        <v>114442.01000000001</v>
      </c>
      <c r="N51" s="184">
        <v>5655.2</v>
      </c>
      <c r="O51" s="184">
        <v>770240.47</v>
      </c>
      <c r="P51" s="184">
        <v>2677039.5299999998</v>
      </c>
      <c r="Q51" s="184">
        <v>94818.540000000008</v>
      </c>
      <c r="R51" s="184">
        <v>134226.60999999999</v>
      </c>
      <c r="S51" s="184">
        <v>335392.57999999996</v>
      </c>
      <c r="T51" s="184">
        <v>0</v>
      </c>
      <c r="U51" s="184">
        <v>415414.88</v>
      </c>
      <c r="V51" s="184">
        <v>8294.2999999999993</v>
      </c>
      <c r="W51" s="184">
        <v>221522.91</v>
      </c>
      <c r="X51" s="184">
        <v>121137.1</v>
      </c>
      <c r="Y51" s="184">
        <v>2982585.2199999997</v>
      </c>
      <c r="Z51" s="184">
        <v>1241999.3899999999</v>
      </c>
      <c r="AA51" s="184">
        <v>164490.75</v>
      </c>
      <c r="AB51" s="184">
        <v>223023.27000000002</v>
      </c>
      <c r="AC51" s="184">
        <v>78846.490000000005</v>
      </c>
      <c r="AD51" s="184">
        <v>0</v>
      </c>
      <c r="AE51" s="184">
        <v>190643.07</v>
      </c>
      <c r="AF51" s="184"/>
      <c r="AG51" s="184">
        <v>1055602.29</v>
      </c>
      <c r="AH51" s="184">
        <v>0</v>
      </c>
      <c r="AI51" s="184">
        <v>0</v>
      </c>
      <c r="AJ51" s="184">
        <v>3170361.45</v>
      </c>
      <c r="AK51" s="184"/>
      <c r="AL51" s="184"/>
      <c r="AM51" s="184"/>
      <c r="AN51" s="184"/>
      <c r="AO51" s="184"/>
      <c r="AP51" s="184">
        <v>3097008.66</v>
      </c>
      <c r="AQ51" s="184"/>
      <c r="AR51" s="184">
        <v>97940.85</v>
      </c>
      <c r="AS51" s="184"/>
      <c r="AT51" s="184"/>
      <c r="AU51" s="184"/>
      <c r="AV51" s="184">
        <v>228823.02000000002</v>
      </c>
      <c r="AW51" s="184">
        <v>26637.19</v>
      </c>
      <c r="AX51" s="184"/>
      <c r="AY51" s="184"/>
      <c r="AZ51" s="184">
        <v>777133.45</v>
      </c>
      <c r="BA51" s="184">
        <v>7348.47</v>
      </c>
      <c r="BB51" s="184">
        <v>0</v>
      </c>
      <c r="BC51" s="184">
        <v>16370.51</v>
      </c>
      <c r="BD51" s="184">
        <v>75347.59</v>
      </c>
      <c r="BE51" s="184">
        <f>6066107.52+22169.5+139685.42</f>
        <v>6227962.4399999995</v>
      </c>
      <c r="BF51" s="184">
        <v>61560.549999999996</v>
      </c>
      <c r="BG51" s="184">
        <v>25437.510000000002</v>
      </c>
      <c r="BH51" s="184">
        <v>5630223.6600000001</v>
      </c>
      <c r="BI51" s="184">
        <v>188524.79999999999</v>
      </c>
      <c r="BJ51" s="184">
        <v>20639.82</v>
      </c>
      <c r="BK51" s="184">
        <v>59335.099999999991</v>
      </c>
      <c r="BL51" s="184">
        <v>28351.279999999999</v>
      </c>
      <c r="BM51" s="184">
        <v>18004.2</v>
      </c>
      <c r="BN51" s="184">
        <v>228751.97</v>
      </c>
      <c r="BO51" s="184">
        <v>46835.37</v>
      </c>
      <c r="BP51" s="184">
        <v>75168.460000000006</v>
      </c>
      <c r="BQ51" s="184">
        <v>4094.94</v>
      </c>
      <c r="BR51" s="184">
        <v>11446.8</v>
      </c>
      <c r="BS51" s="184">
        <v>16971.84</v>
      </c>
      <c r="BT51" s="184">
        <v>20494.09</v>
      </c>
      <c r="BU51" s="184">
        <v>0</v>
      </c>
      <c r="BV51" s="184">
        <v>69022.05</v>
      </c>
      <c r="BW51" s="184">
        <v>23860.739999999998</v>
      </c>
      <c r="BX51" s="184">
        <v>16059.39</v>
      </c>
      <c r="BY51" s="184">
        <v>269177</v>
      </c>
      <c r="BZ51" s="184">
        <v>10051.69</v>
      </c>
      <c r="CA51" s="184">
        <v>5111.87</v>
      </c>
      <c r="CB51" s="184">
        <v>34353.760000000002</v>
      </c>
      <c r="CC51" s="184">
        <v>68397.38</v>
      </c>
      <c r="CD51" s="195"/>
      <c r="CE51" s="195">
        <f>SUM(C51:CD51)</f>
        <v>35828141.290000007</v>
      </c>
      <c r="CH51" s="288"/>
      <c r="CI51" s="288"/>
    </row>
    <row r="52" spans="1:87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  <c r="CH52" s="288"/>
      <c r="CI52" s="288"/>
    </row>
    <row r="53" spans="1:87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H53" s="288"/>
      <c r="CI53" s="288"/>
    </row>
    <row r="54" spans="1:87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H54" s="288"/>
      <c r="CI54" s="288"/>
    </row>
    <row r="55" spans="1:87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  <c r="CH55" s="288"/>
      <c r="CI55" s="288"/>
    </row>
    <row r="56" spans="1:87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  <c r="CH56" s="288"/>
      <c r="CI56" s="288"/>
    </row>
    <row r="57" spans="1:87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  <c r="CH57" s="288"/>
      <c r="CI57" s="288"/>
    </row>
    <row r="58" spans="1:87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  <c r="CH58" s="288"/>
      <c r="CI58" s="288"/>
    </row>
    <row r="59" spans="1:87" ht="12.65" customHeight="1" x14ac:dyDescent="0.35">
      <c r="A59" s="171" t="s">
        <v>233</v>
      </c>
      <c r="B59" s="175"/>
      <c r="C59" s="184">
        <v>4943.9799999999996</v>
      </c>
      <c r="D59" s="184">
        <v>8914.4</v>
      </c>
      <c r="E59" s="184">
        <v>37724.47</v>
      </c>
      <c r="F59" s="184"/>
      <c r="G59" s="184">
        <v>3434</v>
      </c>
      <c r="H59" s="184"/>
      <c r="I59" s="184"/>
      <c r="J59" s="184"/>
      <c r="K59" s="184"/>
      <c r="L59" s="184"/>
      <c r="M59" s="184">
        <v>3836</v>
      </c>
      <c r="N59" s="184"/>
      <c r="O59" s="184">
        <v>4367</v>
      </c>
      <c r="P59" s="185">
        <v>739476</v>
      </c>
      <c r="Q59" s="185">
        <v>1821899</v>
      </c>
      <c r="R59" s="185">
        <v>1277090</v>
      </c>
      <c r="S59" s="247" t="s">
        <v>221</v>
      </c>
      <c r="T59" s="247" t="s">
        <v>221</v>
      </c>
      <c r="U59" s="224">
        <v>881954</v>
      </c>
      <c r="V59" s="185"/>
      <c r="W59" s="185">
        <v>30016.71</v>
      </c>
      <c r="X59" s="185">
        <v>138648.74</v>
      </c>
      <c r="Y59" s="185">
        <v>336276.15</v>
      </c>
      <c r="Z59" s="185">
        <v>60040.18</v>
      </c>
      <c r="AA59" s="185">
        <v>13413.4</v>
      </c>
      <c r="AB59" s="247"/>
      <c r="AC59" s="185">
        <v>24456.870000000003</v>
      </c>
      <c r="AD59" s="185"/>
      <c r="AE59" s="185">
        <v>72038</v>
      </c>
      <c r="AF59" s="185"/>
      <c r="AG59" s="185">
        <v>95286</v>
      </c>
      <c r="AH59" s="185"/>
      <c r="AI59" s="185"/>
      <c r="AJ59" s="185">
        <v>249762</v>
      </c>
      <c r="AK59" s="185"/>
      <c r="AL59" s="185"/>
      <c r="AM59" s="185"/>
      <c r="AN59" s="185"/>
      <c r="AO59" s="185"/>
      <c r="AP59" s="185">
        <v>330570</v>
      </c>
      <c r="AQ59" s="185"/>
      <c r="AR59" s="185"/>
      <c r="AS59" s="185"/>
      <c r="AT59" s="185"/>
      <c r="AU59" s="185"/>
      <c r="AV59" s="247" t="s">
        <v>221</v>
      </c>
      <c r="AW59" s="247" t="s">
        <v>221</v>
      </c>
      <c r="AX59" s="247" t="s">
        <v>221</v>
      </c>
      <c r="AY59" s="185"/>
      <c r="AZ59" s="185">
        <v>721631.94</v>
      </c>
      <c r="BA59" s="247" t="s">
        <v>221</v>
      </c>
      <c r="BB59" s="247" t="s">
        <v>221</v>
      </c>
      <c r="BC59" s="247" t="s">
        <v>221</v>
      </c>
      <c r="BD59" s="247" t="s">
        <v>221</v>
      </c>
      <c r="BE59" s="185">
        <v>679195</v>
      </c>
      <c r="BF59" s="247" t="s">
        <v>221</v>
      </c>
      <c r="BG59" s="247" t="s">
        <v>221</v>
      </c>
      <c r="BH59" s="247" t="s">
        <v>221</v>
      </c>
      <c r="BI59" s="247" t="s">
        <v>221</v>
      </c>
      <c r="BJ59" s="247" t="s">
        <v>221</v>
      </c>
      <c r="BK59" s="247" t="s">
        <v>221</v>
      </c>
      <c r="BL59" s="247" t="s">
        <v>221</v>
      </c>
      <c r="BM59" s="247" t="s">
        <v>221</v>
      </c>
      <c r="BN59" s="247" t="s">
        <v>221</v>
      </c>
      <c r="BO59" s="247" t="s">
        <v>221</v>
      </c>
      <c r="BP59" s="247" t="s">
        <v>221</v>
      </c>
      <c r="BQ59" s="247" t="s">
        <v>221</v>
      </c>
      <c r="BR59" s="247" t="s">
        <v>221</v>
      </c>
      <c r="BS59" s="247" t="s">
        <v>221</v>
      </c>
      <c r="BT59" s="247" t="s">
        <v>221</v>
      </c>
      <c r="BU59" s="247" t="s">
        <v>221</v>
      </c>
      <c r="BV59" s="247" t="s">
        <v>221</v>
      </c>
      <c r="BW59" s="247" t="s">
        <v>221</v>
      </c>
      <c r="BX59" s="247" t="s">
        <v>221</v>
      </c>
      <c r="BY59" s="247" t="s">
        <v>221</v>
      </c>
      <c r="BZ59" s="247" t="s">
        <v>221</v>
      </c>
      <c r="CA59" s="247" t="s">
        <v>221</v>
      </c>
      <c r="CB59" s="247" t="s">
        <v>221</v>
      </c>
      <c r="CC59" s="247" t="s">
        <v>221</v>
      </c>
      <c r="CD59" s="249"/>
      <c r="CE59" s="195"/>
      <c r="CH59" s="288"/>
      <c r="CI59" s="288"/>
    </row>
    <row r="60" spans="1:87" ht="12.65" customHeight="1" x14ac:dyDescent="0.35">
      <c r="A60" s="250" t="s">
        <v>234</v>
      </c>
      <c r="B60" s="175"/>
      <c r="C60" s="186">
        <v>139.12829980842912</v>
      </c>
      <c r="D60" s="187">
        <v>63.860402298850566</v>
      </c>
      <c r="E60" s="187">
        <v>268.3683716475096</v>
      </c>
      <c r="F60" s="223">
        <v>6.63448275862069</v>
      </c>
      <c r="G60" s="187">
        <v>17.355177203065136</v>
      </c>
      <c r="H60" s="187"/>
      <c r="I60" s="187"/>
      <c r="J60" s="223"/>
      <c r="K60" s="187"/>
      <c r="L60" s="187"/>
      <c r="M60" s="187">
        <f>38.59+9.17</f>
        <v>47.760000000000005</v>
      </c>
      <c r="N60" s="187">
        <v>47.494985632183905</v>
      </c>
      <c r="O60" s="187">
        <v>169.87786398467432</v>
      </c>
      <c r="P60" s="221">
        <v>104.74167624521073</v>
      </c>
      <c r="Q60" s="221">
        <v>48.751700191570876</v>
      </c>
      <c r="R60" s="221">
        <v>7.2784482758620692</v>
      </c>
      <c r="S60" s="221">
        <v>19.953563218390805</v>
      </c>
      <c r="T60" s="221">
        <v>0</v>
      </c>
      <c r="U60" s="221">
        <v>72.785296934865897</v>
      </c>
      <c r="V60" s="221">
        <v>2.3532375478927205</v>
      </c>
      <c r="W60" s="221">
        <v>5.1952681992337171</v>
      </c>
      <c r="X60" s="221">
        <v>12.98617337164751</v>
      </c>
      <c r="Y60" s="221">
        <v>136.03677203065135</v>
      </c>
      <c r="Z60" s="221">
        <v>20.788893678160914</v>
      </c>
      <c r="AA60" s="221">
        <v>3.0805938697318007</v>
      </c>
      <c r="AB60" s="221">
        <v>55.250143678160924</v>
      </c>
      <c r="AC60" s="221">
        <v>28.682279693486588</v>
      </c>
      <c r="AD60" s="221"/>
      <c r="AE60" s="221">
        <v>53.077710727969354</v>
      </c>
      <c r="AF60" s="221"/>
      <c r="AG60" s="221">
        <v>105.21431034482758</v>
      </c>
      <c r="AH60" s="221"/>
      <c r="AI60" s="221"/>
      <c r="AJ60" s="221">
        <v>452.11473659003826</v>
      </c>
      <c r="AK60" s="221"/>
      <c r="AL60" s="221"/>
      <c r="AM60" s="221"/>
      <c r="AN60" s="221"/>
      <c r="AO60" s="221"/>
      <c r="AP60" s="221">
        <v>375.66852011494257</v>
      </c>
      <c r="AQ60" s="221"/>
      <c r="AR60" s="221">
        <f>356.93+82.51</f>
        <v>439.44</v>
      </c>
      <c r="AS60" s="221"/>
      <c r="AT60" s="221"/>
      <c r="AU60" s="221"/>
      <c r="AV60" s="221">
        <v>22.173505747126441</v>
      </c>
      <c r="AW60" s="221">
        <v>16.85624521072797</v>
      </c>
      <c r="AX60" s="221"/>
      <c r="AY60" s="221"/>
      <c r="AZ60" s="221">
        <v>58.676312260536399</v>
      </c>
      <c r="BA60" s="221">
        <v>5.173045977011494</v>
      </c>
      <c r="BB60" s="221">
        <v>0</v>
      </c>
      <c r="BC60" s="221">
        <v>5.859612068965518</v>
      </c>
      <c r="BD60" s="221">
        <v>34.773333333333333</v>
      </c>
      <c r="BE60" s="221">
        <v>49.531987547892726</v>
      </c>
      <c r="BF60" s="221">
        <v>96.14052203065134</v>
      </c>
      <c r="BG60" s="221">
        <v>17.82740900383142</v>
      </c>
      <c r="BH60" s="221">
        <v>119.859372605364</v>
      </c>
      <c r="BI60" s="221">
        <v>57.813984674329504</v>
      </c>
      <c r="BJ60" s="221">
        <v>17.479870689655172</v>
      </c>
      <c r="BK60" s="221">
        <v>85.16873563218391</v>
      </c>
      <c r="BL60" s="221">
        <v>72.774295977011505</v>
      </c>
      <c r="BM60" s="221">
        <v>35.539324712643676</v>
      </c>
      <c r="BN60" s="221">
        <v>23.002705938697314</v>
      </c>
      <c r="BO60" s="221">
        <v>7.7939463601532575</v>
      </c>
      <c r="BP60" s="221">
        <v>8.3606273946360137</v>
      </c>
      <c r="BQ60" s="221">
        <v>4.3661015325670496</v>
      </c>
      <c r="BR60" s="221">
        <v>29.209506704980843</v>
      </c>
      <c r="BS60" s="221">
        <v>4.5144588122605365</v>
      </c>
      <c r="BT60" s="221">
        <v>1.7583620689655173</v>
      </c>
      <c r="BU60" s="221"/>
      <c r="BV60" s="221">
        <v>53.146944444444451</v>
      </c>
      <c r="BW60" s="221">
        <v>7.7655411877394638</v>
      </c>
      <c r="BX60" s="221">
        <v>51.284008620689654</v>
      </c>
      <c r="BY60" s="221">
        <v>12.06786877394636</v>
      </c>
      <c r="BZ60" s="221">
        <v>45.083405172413798</v>
      </c>
      <c r="CA60" s="221">
        <v>14.781901340996168</v>
      </c>
      <c r="CB60" s="221">
        <v>70.238735632183918</v>
      </c>
      <c r="CC60" s="221">
        <v>44.014616858237545</v>
      </c>
      <c r="CD60" s="249" t="s">
        <v>221</v>
      </c>
      <c r="CE60" s="251">
        <f t="shared" ref="CE60:CE70" si="0">SUM(C60:CD60)</f>
        <v>3776.9151963601539</v>
      </c>
      <c r="CH60" s="288"/>
      <c r="CI60" s="288"/>
    </row>
    <row r="61" spans="1:87" ht="12.65" customHeight="1" x14ac:dyDescent="0.35">
      <c r="A61" s="171" t="s">
        <v>235</v>
      </c>
      <c r="B61" s="175"/>
      <c r="C61" s="184">
        <v>15198528.740000002</v>
      </c>
      <c r="D61" s="184">
        <v>6456942.5899999999</v>
      </c>
      <c r="E61" s="184">
        <v>23847927.910000004</v>
      </c>
      <c r="F61" s="185">
        <v>646662.20000000007</v>
      </c>
      <c r="G61" s="184">
        <v>1783725.7199999997</v>
      </c>
      <c r="H61" s="184"/>
      <c r="I61" s="185"/>
      <c r="J61" s="185"/>
      <c r="K61" s="185"/>
      <c r="L61" s="185"/>
      <c r="M61" s="184">
        <f>4142454+792460.29</f>
        <v>4934914.29</v>
      </c>
      <c r="N61" s="184">
        <v>15000633.4</v>
      </c>
      <c r="O61" s="184">
        <v>17505984.350000001</v>
      </c>
      <c r="P61" s="185">
        <v>9889291.4600000009</v>
      </c>
      <c r="Q61" s="185">
        <v>5607697.0099999998</v>
      </c>
      <c r="R61" s="185">
        <v>532549.87</v>
      </c>
      <c r="S61" s="185">
        <v>1297209.49</v>
      </c>
      <c r="T61" s="185">
        <v>0</v>
      </c>
      <c r="U61" s="185">
        <v>5533654.8999999994</v>
      </c>
      <c r="V61" s="185">
        <v>143719.98000000004</v>
      </c>
      <c r="W61" s="185">
        <v>681556.45000000019</v>
      </c>
      <c r="X61" s="185">
        <v>1366038.36</v>
      </c>
      <c r="Y61" s="185">
        <v>13579741.039999999</v>
      </c>
      <c r="Z61" s="185">
        <v>4151002.94</v>
      </c>
      <c r="AA61" s="185">
        <v>425186.52</v>
      </c>
      <c r="AB61" s="185">
        <v>5952129.9700000007</v>
      </c>
      <c r="AC61" s="185">
        <v>2708296.2</v>
      </c>
      <c r="AD61" s="185"/>
      <c r="AE61" s="185">
        <v>4613402.9000000004</v>
      </c>
      <c r="AF61" s="185"/>
      <c r="AG61" s="185">
        <v>9600023.5399999991</v>
      </c>
      <c r="AH61" s="185"/>
      <c r="AI61" s="185"/>
      <c r="AJ61" s="185">
        <v>67040973.039999999</v>
      </c>
      <c r="AK61" s="185"/>
      <c r="AL61" s="185"/>
      <c r="AM61" s="185"/>
      <c r="AN61" s="185"/>
      <c r="AO61" s="185"/>
      <c r="AP61" s="185">
        <v>44273580.100000001</v>
      </c>
      <c r="AQ61" s="185"/>
      <c r="AR61" s="185">
        <f>37564338.67+7132142.65</f>
        <v>44696481.32</v>
      </c>
      <c r="AS61" s="185"/>
      <c r="AT61" s="185"/>
      <c r="AU61" s="185"/>
      <c r="AV61" s="185">
        <v>2334742.7399999998</v>
      </c>
      <c r="AW61" s="185">
        <v>1239468.57</v>
      </c>
      <c r="AX61" s="185"/>
      <c r="AY61" s="185"/>
      <c r="AZ61" s="185">
        <v>2787298.4</v>
      </c>
      <c r="BA61" s="185">
        <v>240539.05000000002</v>
      </c>
      <c r="BB61" s="185">
        <v>0</v>
      </c>
      <c r="BC61" s="185">
        <v>262418.2</v>
      </c>
      <c r="BD61" s="185">
        <v>2157936.13</v>
      </c>
      <c r="BE61" s="185">
        <v>3463628.9699999997</v>
      </c>
      <c r="BF61" s="185">
        <v>4440455.3099999996</v>
      </c>
      <c r="BG61" s="185">
        <v>1059214.78</v>
      </c>
      <c r="BH61" s="185">
        <v>13231919.719999999</v>
      </c>
      <c r="BI61" s="185">
        <v>5509727.0999999987</v>
      </c>
      <c r="BJ61" s="185">
        <v>1454062.1099999999</v>
      </c>
      <c r="BK61" s="185">
        <v>4874187.75</v>
      </c>
      <c r="BL61" s="185">
        <v>3859479.02</v>
      </c>
      <c r="BM61" s="185">
        <v>3142779.3699999996</v>
      </c>
      <c r="BN61" s="185">
        <v>5988293.7699999996</v>
      </c>
      <c r="BO61" s="185">
        <v>927811.92999999993</v>
      </c>
      <c r="BP61" s="185">
        <v>872536.24000000011</v>
      </c>
      <c r="BQ61" s="185">
        <v>522785.03999999992</v>
      </c>
      <c r="BR61" s="185">
        <f>2834251.62-623628.77</f>
        <v>2210622.85</v>
      </c>
      <c r="BS61" s="185">
        <v>284734.28000000003</v>
      </c>
      <c r="BT61" s="185">
        <v>126161.60000000001</v>
      </c>
      <c r="BU61" s="185">
        <v>146.9</v>
      </c>
      <c r="BV61" s="185">
        <v>3465444.4800000004</v>
      </c>
      <c r="BW61" s="185">
        <v>1398031.34</v>
      </c>
      <c r="BX61" s="185">
        <v>5759774.1100000003</v>
      </c>
      <c r="BY61" s="185">
        <v>1181073.06</v>
      </c>
      <c r="BZ61" s="185">
        <v>4019580.18</v>
      </c>
      <c r="CA61" s="185">
        <v>1483295.7099999997</v>
      </c>
      <c r="CB61" s="185">
        <v>5442968.7700000005</v>
      </c>
      <c r="CC61" s="185">
        <f>6592064.02-998926.53</f>
        <v>5593137.4899999993</v>
      </c>
      <c r="CD61" s="249" t="s">
        <v>221</v>
      </c>
      <c r="CE61" s="195">
        <f t="shared" si="0"/>
        <v>396802109.25999999</v>
      </c>
      <c r="CF61" s="252"/>
      <c r="CH61" s="288"/>
      <c r="CI61" s="288"/>
    </row>
    <row r="62" spans="1:87" ht="12.65" customHeight="1" x14ac:dyDescent="0.35">
      <c r="A62" s="171" t="s">
        <v>3</v>
      </c>
      <c r="B62" s="175"/>
      <c r="C62" s="195">
        <f t="shared" ref="C62:BN62" si="1">ROUND(C47+C48,0)</f>
        <v>3288103</v>
      </c>
      <c r="D62" s="195">
        <f t="shared" si="1"/>
        <v>1600619</v>
      </c>
      <c r="E62" s="195">
        <f t="shared" si="1"/>
        <v>5156004</v>
      </c>
      <c r="F62" s="195">
        <f t="shared" si="1"/>
        <v>165642</v>
      </c>
      <c r="G62" s="195">
        <f t="shared" si="1"/>
        <v>477339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1252729</v>
      </c>
      <c r="N62" s="195">
        <f t="shared" si="1"/>
        <v>2772752</v>
      </c>
      <c r="O62" s="195">
        <f t="shared" si="1"/>
        <v>4421023</v>
      </c>
      <c r="P62" s="195">
        <f t="shared" si="1"/>
        <v>2271690</v>
      </c>
      <c r="Q62" s="195">
        <f t="shared" si="1"/>
        <v>1485546</v>
      </c>
      <c r="R62" s="195">
        <f t="shared" si="1"/>
        <v>130978</v>
      </c>
      <c r="S62" s="195">
        <f t="shared" si="1"/>
        <v>302559</v>
      </c>
      <c r="T62" s="195">
        <f t="shared" si="1"/>
        <v>0</v>
      </c>
      <c r="U62" s="195">
        <f t="shared" si="1"/>
        <v>1543837</v>
      </c>
      <c r="V62" s="195">
        <f t="shared" si="1"/>
        <v>40156</v>
      </c>
      <c r="W62" s="195">
        <f t="shared" si="1"/>
        <v>128126</v>
      </c>
      <c r="X62" s="195">
        <f t="shared" si="1"/>
        <v>269026</v>
      </c>
      <c r="Y62" s="195">
        <f t="shared" si="1"/>
        <v>3308640</v>
      </c>
      <c r="Z62" s="195">
        <f t="shared" si="1"/>
        <v>714784</v>
      </c>
      <c r="AA62" s="195">
        <f t="shared" si="1"/>
        <v>79950</v>
      </c>
      <c r="AB62" s="195">
        <f t="shared" si="1"/>
        <v>1361836</v>
      </c>
      <c r="AC62" s="195">
        <f t="shared" si="1"/>
        <v>580149</v>
      </c>
      <c r="AD62" s="195">
        <f t="shared" si="1"/>
        <v>0</v>
      </c>
      <c r="AE62" s="195">
        <f t="shared" si="1"/>
        <v>1233556</v>
      </c>
      <c r="AF62" s="195">
        <f t="shared" si="1"/>
        <v>0</v>
      </c>
      <c r="AG62" s="195">
        <f t="shared" si="1"/>
        <v>2589663</v>
      </c>
      <c r="AH62" s="195">
        <f t="shared" si="1"/>
        <v>0</v>
      </c>
      <c r="AI62" s="195">
        <f t="shared" si="1"/>
        <v>0</v>
      </c>
      <c r="AJ62" s="195">
        <f t="shared" si="1"/>
        <v>13459316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9838403</v>
      </c>
      <c r="AQ62" s="195">
        <f t="shared" si="1"/>
        <v>0</v>
      </c>
      <c r="AR62" s="195">
        <f t="shared" si="1"/>
        <v>11259535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569248</v>
      </c>
      <c r="AW62" s="195">
        <f t="shared" si="1"/>
        <v>267100</v>
      </c>
      <c r="AX62" s="195">
        <f t="shared" si="1"/>
        <v>0</v>
      </c>
      <c r="AY62" s="195">
        <f>ROUND(AY47+AY48,0)</f>
        <v>0</v>
      </c>
      <c r="AZ62" s="195">
        <f>ROUND(AZ47+AZ48,0)</f>
        <v>959884</v>
      </c>
      <c r="BA62" s="195">
        <f>ROUND(BA47+BA48,0)</f>
        <v>99160</v>
      </c>
      <c r="BB62" s="195">
        <f t="shared" si="1"/>
        <v>0</v>
      </c>
      <c r="BC62" s="195">
        <f t="shared" si="1"/>
        <v>62755</v>
      </c>
      <c r="BD62" s="195">
        <f t="shared" si="1"/>
        <v>670298</v>
      </c>
      <c r="BE62" s="195">
        <f t="shared" si="1"/>
        <v>972365</v>
      </c>
      <c r="BF62" s="195">
        <f t="shared" si="1"/>
        <v>1611247</v>
      </c>
      <c r="BG62" s="195">
        <f t="shared" si="1"/>
        <v>310742</v>
      </c>
      <c r="BH62" s="195">
        <f t="shared" si="1"/>
        <v>2911016</v>
      </c>
      <c r="BI62" s="195">
        <f t="shared" si="1"/>
        <v>436089</v>
      </c>
      <c r="BJ62" s="195">
        <f t="shared" si="1"/>
        <v>386281</v>
      </c>
      <c r="BK62" s="195">
        <f t="shared" si="1"/>
        <v>1528603</v>
      </c>
      <c r="BL62" s="195">
        <f t="shared" si="1"/>
        <v>1306572</v>
      </c>
      <c r="BM62" s="195">
        <f t="shared" si="1"/>
        <v>893768</v>
      </c>
      <c r="BN62" s="195">
        <f t="shared" si="1"/>
        <v>1016450</v>
      </c>
      <c r="BO62" s="195">
        <f t="shared" ref="BO62:CC62" si="2">ROUND(BO47+BO48,0)</f>
        <v>176258</v>
      </c>
      <c r="BP62" s="195">
        <f t="shared" si="2"/>
        <v>304716</v>
      </c>
      <c r="BQ62" s="195">
        <f t="shared" si="2"/>
        <v>117533</v>
      </c>
      <c r="BR62" s="195">
        <f t="shared" si="2"/>
        <v>805516</v>
      </c>
      <c r="BS62" s="195">
        <f t="shared" si="2"/>
        <v>81637</v>
      </c>
      <c r="BT62" s="195">
        <f t="shared" si="2"/>
        <v>53256</v>
      </c>
      <c r="BU62" s="195">
        <f t="shared" si="2"/>
        <v>0</v>
      </c>
      <c r="BV62" s="195">
        <f t="shared" si="2"/>
        <v>1116111</v>
      </c>
      <c r="BW62" s="195">
        <f t="shared" si="2"/>
        <v>153926</v>
      </c>
      <c r="BX62" s="195">
        <f t="shared" si="2"/>
        <v>1305348</v>
      </c>
      <c r="BY62" s="195">
        <f t="shared" si="2"/>
        <v>345927</v>
      </c>
      <c r="BZ62" s="195">
        <f t="shared" si="2"/>
        <v>1404739</v>
      </c>
      <c r="CA62" s="195">
        <f t="shared" si="2"/>
        <v>362051</v>
      </c>
      <c r="CB62" s="195">
        <f t="shared" si="2"/>
        <v>1514611</v>
      </c>
      <c r="CC62" s="195">
        <f t="shared" si="2"/>
        <v>1023909</v>
      </c>
      <c r="CD62" s="249" t="s">
        <v>221</v>
      </c>
      <c r="CE62" s="195">
        <f t="shared" si="0"/>
        <v>92499077</v>
      </c>
      <c r="CF62" s="252"/>
      <c r="CH62" s="288"/>
      <c r="CI62" s="288"/>
    </row>
    <row r="63" spans="1:87" ht="12.65" customHeight="1" x14ac:dyDescent="0.35">
      <c r="A63" s="171" t="s">
        <v>236</v>
      </c>
      <c r="B63" s="175"/>
      <c r="C63" s="184">
        <v>669120</v>
      </c>
      <c r="D63" s="184"/>
      <c r="E63" s="184"/>
      <c r="F63" s="185"/>
      <c r="G63" s="184"/>
      <c r="H63" s="184"/>
      <c r="I63" s="185"/>
      <c r="J63" s="185"/>
      <c r="K63" s="185"/>
      <c r="L63" s="185"/>
      <c r="M63" s="184">
        <f>1131.84+3880</f>
        <v>5011.84</v>
      </c>
      <c r="N63" s="184">
        <v>689211.51</v>
      </c>
      <c r="O63" s="184">
        <v>1512186.41</v>
      </c>
      <c r="P63" s="185">
        <v>7524</v>
      </c>
      <c r="Q63" s="185">
        <v>0</v>
      </c>
      <c r="R63" s="185">
        <v>0</v>
      </c>
      <c r="S63" s="185">
        <v>0</v>
      </c>
      <c r="T63" s="185">
        <v>0</v>
      </c>
      <c r="U63" s="185">
        <v>138177.03</v>
      </c>
      <c r="V63" s="185">
        <v>1975</v>
      </c>
      <c r="W63" s="185">
        <v>0</v>
      </c>
      <c r="X63" s="185">
        <v>0</v>
      </c>
      <c r="Y63" s="185">
        <v>138096.72999999998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/>
      <c r="AF63" s="185"/>
      <c r="AG63" s="185">
        <v>660703.63</v>
      </c>
      <c r="AH63" s="185"/>
      <c r="AI63" s="185"/>
      <c r="AJ63" s="185">
        <v>1695804.94</v>
      </c>
      <c r="AK63" s="185"/>
      <c r="AL63" s="185"/>
      <c r="AM63" s="185"/>
      <c r="AN63" s="185"/>
      <c r="AO63" s="185"/>
      <c r="AP63" s="185">
        <v>4827935.16</v>
      </c>
      <c r="AQ63" s="185"/>
      <c r="AR63" s="185">
        <f>5319.93+34920</f>
        <v>40239.93</v>
      </c>
      <c r="AS63" s="185"/>
      <c r="AT63" s="185"/>
      <c r="AU63" s="185"/>
      <c r="AV63" s="185"/>
      <c r="AW63" s="185">
        <v>660691.63</v>
      </c>
      <c r="AX63" s="185"/>
      <c r="AY63" s="185"/>
      <c r="AZ63" s="185"/>
      <c r="BA63" s="185"/>
      <c r="BB63" s="185"/>
      <c r="BC63" s="185"/>
      <c r="BD63" s="185"/>
      <c r="BE63" s="185"/>
      <c r="BF63" s="185"/>
      <c r="BG63" s="185">
        <v>3886</v>
      </c>
      <c r="BH63" s="185">
        <v>0</v>
      </c>
      <c r="BI63" s="185">
        <v>675481.82</v>
      </c>
      <c r="BJ63" s="185">
        <v>81218.63</v>
      </c>
      <c r="BK63" s="185">
        <v>328947.5</v>
      </c>
      <c r="BL63" s="185">
        <v>1824.19</v>
      </c>
      <c r="BM63" s="185">
        <v>60000</v>
      </c>
      <c r="BN63" s="185">
        <v>2219577.4700000002</v>
      </c>
      <c r="BO63" s="185">
        <v>401.01</v>
      </c>
      <c r="BP63" s="185">
        <v>397319.63</v>
      </c>
      <c r="BQ63" s="185">
        <v>0</v>
      </c>
      <c r="BR63" s="185">
        <f>849634.13+279448.52</f>
        <v>1129082.6499999999</v>
      </c>
      <c r="BS63" s="185">
        <v>0</v>
      </c>
      <c r="BT63" s="185">
        <v>0</v>
      </c>
      <c r="BU63" s="185">
        <v>0</v>
      </c>
      <c r="BV63" s="185">
        <v>0</v>
      </c>
      <c r="BW63" s="185">
        <v>1767208.38</v>
      </c>
      <c r="BX63" s="185">
        <v>479352.18000000005</v>
      </c>
      <c r="BY63" s="185">
        <v>40000</v>
      </c>
      <c r="BZ63" s="185">
        <v>0</v>
      </c>
      <c r="CA63" s="185">
        <v>0</v>
      </c>
      <c r="CB63" s="185">
        <v>412.5</v>
      </c>
      <c r="CC63" s="185">
        <f>777129.77-241000</f>
        <v>536129.77</v>
      </c>
      <c r="CD63" s="249" t="s">
        <v>221</v>
      </c>
      <c r="CE63" s="195">
        <f t="shared" si="0"/>
        <v>18767519.540000003</v>
      </c>
      <c r="CF63" s="252"/>
      <c r="CH63" s="288"/>
      <c r="CI63" s="288"/>
    </row>
    <row r="64" spans="1:87" ht="12.65" customHeight="1" x14ac:dyDescent="0.35">
      <c r="A64" s="171" t="s">
        <v>237</v>
      </c>
      <c r="B64" s="175"/>
      <c r="C64" s="184">
        <v>1542862.5699999998</v>
      </c>
      <c r="D64" s="184">
        <v>624555.95000000019</v>
      </c>
      <c r="E64" s="185">
        <v>1805061.5499999996</v>
      </c>
      <c r="F64" s="185">
        <v>24938.940000000002</v>
      </c>
      <c r="G64" s="184">
        <v>82098.36</v>
      </c>
      <c r="H64" s="184"/>
      <c r="I64" s="185"/>
      <c r="J64" s="185"/>
      <c r="K64" s="185"/>
      <c r="L64" s="185"/>
      <c r="M64" s="184">
        <f>108690.95+28897.64</f>
        <v>137588.59</v>
      </c>
      <c r="N64" s="184">
        <v>14873.130000000001</v>
      </c>
      <c r="O64" s="184">
        <v>1788199.2399999998</v>
      </c>
      <c r="P64" s="185">
        <v>36496755.900000006</v>
      </c>
      <c r="Q64" s="185">
        <v>314913.45</v>
      </c>
      <c r="R64" s="185">
        <v>417629.8899999999</v>
      </c>
      <c r="S64" s="185">
        <v>709108.76</v>
      </c>
      <c r="T64" s="185">
        <v>0</v>
      </c>
      <c r="U64" s="185">
        <v>4939987.5400000028</v>
      </c>
      <c r="V64" s="185">
        <v>26820.560000000001</v>
      </c>
      <c r="W64" s="185">
        <v>185087.38999999998</v>
      </c>
      <c r="X64" s="185">
        <v>371836.5799999999</v>
      </c>
      <c r="Y64" s="185">
        <v>6030148.7500000009</v>
      </c>
      <c r="Z64" s="185">
        <v>518119.09999999992</v>
      </c>
      <c r="AA64" s="185">
        <v>448640.95999999996</v>
      </c>
      <c r="AB64" s="185">
        <v>17314356.470000003</v>
      </c>
      <c r="AC64" s="185">
        <v>398576.14999999997</v>
      </c>
      <c r="AD64" s="185">
        <v>0</v>
      </c>
      <c r="AE64" s="185">
        <v>72766.200000000012</v>
      </c>
      <c r="AF64" s="185"/>
      <c r="AG64" s="185">
        <v>1499175.77</v>
      </c>
      <c r="AH64" s="185"/>
      <c r="AI64" s="185"/>
      <c r="AJ64" s="185">
        <v>5053279.5699999994</v>
      </c>
      <c r="AK64" s="185"/>
      <c r="AL64" s="185"/>
      <c r="AM64" s="185"/>
      <c r="AN64" s="185"/>
      <c r="AO64" s="185"/>
      <c r="AP64" s="185">
        <v>5393142.7100000009</v>
      </c>
      <c r="AQ64" s="185"/>
      <c r="AR64" s="185">
        <f>3239390.06+260078.73</f>
        <v>3499468.79</v>
      </c>
      <c r="AS64" s="185"/>
      <c r="AT64" s="185"/>
      <c r="AU64" s="185"/>
      <c r="AV64" s="185">
        <v>6246386.7800000021</v>
      </c>
      <c r="AW64" s="185">
        <v>38566.839999999997</v>
      </c>
      <c r="AX64" s="185">
        <v>378796.38000000006</v>
      </c>
      <c r="AY64" s="185"/>
      <c r="AZ64" s="185">
        <v>1647784.9199999995</v>
      </c>
      <c r="BA64" s="185">
        <v>20446.11</v>
      </c>
      <c r="BB64" s="185">
        <v>0</v>
      </c>
      <c r="BC64" s="185">
        <v>652.00000000000011</v>
      </c>
      <c r="BD64" s="185">
        <v>34754.32</v>
      </c>
      <c r="BE64" s="185">
        <v>754459.85999999987</v>
      </c>
      <c r="BF64" s="185">
        <v>343736.02999999991</v>
      </c>
      <c r="BG64" s="185">
        <v>133319.34</v>
      </c>
      <c r="BH64" s="185">
        <v>1220773.57</v>
      </c>
      <c r="BI64" s="185">
        <v>4404886.0100000007</v>
      </c>
      <c r="BJ64" s="185">
        <v>14357.029999999999</v>
      </c>
      <c r="BK64" s="185">
        <v>80023.839999999982</v>
      </c>
      <c r="BL64" s="185">
        <v>42535.19</v>
      </c>
      <c r="BM64" s="185">
        <v>29573.079999999998</v>
      </c>
      <c r="BN64" s="185">
        <v>21448.41</v>
      </c>
      <c r="BO64" s="185">
        <v>86518.18</v>
      </c>
      <c r="BP64" s="185">
        <v>215531.91999999998</v>
      </c>
      <c r="BQ64" s="185">
        <v>4351.68</v>
      </c>
      <c r="BR64" s="185">
        <v>31985.730000000003</v>
      </c>
      <c r="BS64" s="185">
        <v>272119.10000000003</v>
      </c>
      <c r="BT64" s="185">
        <v>586.82000000000005</v>
      </c>
      <c r="BU64" s="185">
        <v>0</v>
      </c>
      <c r="BV64" s="185">
        <v>12262.25</v>
      </c>
      <c r="BW64" s="185">
        <v>9672.5700000000015</v>
      </c>
      <c r="BX64" s="185">
        <v>31145.279999999999</v>
      </c>
      <c r="BY64" s="185">
        <v>6370.44</v>
      </c>
      <c r="BZ64" s="185">
        <v>14011.289999999997</v>
      </c>
      <c r="CA64" s="185">
        <v>223537.18999999997</v>
      </c>
      <c r="CB64" s="185">
        <v>58013.75</v>
      </c>
      <c r="CC64" s="185">
        <f>73698.23-2046753.09</f>
        <v>-1973054.86</v>
      </c>
      <c r="CD64" s="249" t="s">
        <v>221</v>
      </c>
      <c r="CE64" s="195">
        <f t="shared" si="0"/>
        <v>104115543.92000002</v>
      </c>
      <c r="CF64" s="252"/>
      <c r="CH64" s="288"/>
      <c r="CI64" s="288"/>
    </row>
    <row r="65" spans="1:87" ht="12.65" customHeight="1" x14ac:dyDescent="0.35">
      <c r="A65" s="171" t="s">
        <v>238</v>
      </c>
      <c r="B65" s="175"/>
      <c r="C65" s="184">
        <v>5294.46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>
        <f>2621.63+5065.66</f>
        <v>7687.29</v>
      </c>
      <c r="N65" s="184">
        <v>22652.57</v>
      </c>
      <c r="O65" s="184">
        <v>741.06</v>
      </c>
      <c r="P65" s="185">
        <v>0</v>
      </c>
      <c r="Q65" s="185">
        <v>652.04</v>
      </c>
      <c r="R65" s="185">
        <v>0</v>
      </c>
      <c r="S65" s="185">
        <v>0</v>
      </c>
      <c r="T65" s="185">
        <v>0</v>
      </c>
      <c r="U65" s="185">
        <v>219.35000000000002</v>
      </c>
      <c r="V65" s="185">
        <v>0</v>
      </c>
      <c r="W65" s="185">
        <v>0</v>
      </c>
      <c r="X65" s="185">
        <v>0</v>
      </c>
      <c r="Y65" s="185">
        <v>15127.9</v>
      </c>
      <c r="Z65" s="185">
        <v>2516.59</v>
      </c>
      <c r="AA65" s="185">
        <v>0</v>
      </c>
      <c r="AB65" s="185">
        <v>0</v>
      </c>
      <c r="AC65" s="185">
        <v>0</v>
      </c>
      <c r="AD65" s="185">
        <v>0</v>
      </c>
      <c r="AE65" s="185">
        <v>4836.9399999999996</v>
      </c>
      <c r="AF65" s="185"/>
      <c r="AG65" s="185">
        <v>9629.65</v>
      </c>
      <c r="AH65" s="185"/>
      <c r="AI65" s="185"/>
      <c r="AJ65" s="185">
        <v>82659.599999999991</v>
      </c>
      <c r="AK65" s="185"/>
      <c r="AL65" s="185"/>
      <c r="AM65" s="185"/>
      <c r="AN65" s="185"/>
      <c r="AO65" s="185"/>
      <c r="AP65" s="185">
        <v>173866.24000000002</v>
      </c>
      <c r="AQ65" s="185"/>
      <c r="AR65" s="185">
        <f>243118.17+45590.97</f>
        <v>288709.14</v>
      </c>
      <c r="AS65" s="185"/>
      <c r="AT65" s="185"/>
      <c r="AU65" s="185"/>
      <c r="AV65" s="185">
        <v>5106.08</v>
      </c>
      <c r="AW65" s="185">
        <v>165.18</v>
      </c>
      <c r="AX65" s="185">
        <v>7181.16</v>
      </c>
      <c r="AY65" s="185"/>
      <c r="AZ65" s="185"/>
      <c r="BA65" s="185"/>
      <c r="BB65" s="185"/>
      <c r="BC65" s="185"/>
      <c r="BD65" s="185">
        <v>334.37</v>
      </c>
      <c r="BE65" s="185">
        <v>3913307.6200000006</v>
      </c>
      <c r="BF65" s="185">
        <v>474052.85</v>
      </c>
      <c r="BG65" s="185">
        <v>1179991.72</v>
      </c>
      <c r="BH65" s="185">
        <v>4139.07</v>
      </c>
      <c r="BI65" s="185">
        <v>1487.44</v>
      </c>
      <c r="BJ65" s="185">
        <v>0</v>
      </c>
      <c r="BK65" s="185">
        <v>1012.55</v>
      </c>
      <c r="BL65" s="185">
        <v>670.9</v>
      </c>
      <c r="BM65" s="185">
        <v>0</v>
      </c>
      <c r="BN65" s="185">
        <v>0</v>
      </c>
      <c r="BO65" s="185">
        <v>0</v>
      </c>
      <c r="BP65" s="185">
        <v>403.32</v>
      </c>
      <c r="BQ65" s="185">
        <v>0</v>
      </c>
      <c r="BR65" s="185">
        <v>0</v>
      </c>
      <c r="BS65" s="185">
        <v>1171.5</v>
      </c>
      <c r="BT65" s="185">
        <v>3261.75</v>
      </c>
      <c r="BU65" s="185">
        <v>0</v>
      </c>
      <c r="BV65" s="185">
        <v>0</v>
      </c>
      <c r="BW65" s="185">
        <v>0</v>
      </c>
      <c r="BX65" s="185">
        <v>2404.96</v>
      </c>
      <c r="BY65" s="185">
        <v>1694.9</v>
      </c>
      <c r="BZ65" s="185">
        <v>0</v>
      </c>
      <c r="CA65" s="185">
        <v>0</v>
      </c>
      <c r="CB65" s="185">
        <v>15577.630000000001</v>
      </c>
      <c r="CC65" s="185">
        <v>28125.5</v>
      </c>
      <c r="CD65" s="249" t="s">
        <v>221</v>
      </c>
      <c r="CE65" s="195">
        <f t="shared" si="0"/>
        <v>6254681.330000001</v>
      </c>
      <c r="CF65" s="252"/>
      <c r="CH65" s="288"/>
      <c r="CI65" s="288"/>
    </row>
    <row r="66" spans="1:87" ht="12.65" customHeight="1" x14ac:dyDescent="0.35">
      <c r="A66" s="171" t="s">
        <v>239</v>
      </c>
      <c r="B66" s="175"/>
      <c r="C66" s="184">
        <v>464655.01</v>
      </c>
      <c r="D66" s="184">
        <v>287358.95</v>
      </c>
      <c r="E66" s="184">
        <v>845728.20000000007</v>
      </c>
      <c r="F66" s="184">
        <v>1523.5100000000002</v>
      </c>
      <c r="G66" s="184">
        <v>27044.720000000001</v>
      </c>
      <c r="H66" s="184"/>
      <c r="I66" s="184"/>
      <c r="J66" s="184"/>
      <c r="K66" s="185"/>
      <c r="L66" s="185"/>
      <c r="M66" s="184">
        <f>116501.05+8912.51</f>
        <v>125413.56</v>
      </c>
      <c r="N66" s="184">
        <v>3255.09</v>
      </c>
      <c r="O66" s="185">
        <v>235964.86000000002</v>
      </c>
      <c r="P66" s="185">
        <v>2038286.4500000002</v>
      </c>
      <c r="Q66" s="185">
        <v>68590.41</v>
      </c>
      <c r="R66" s="185">
        <v>78807.600000000006</v>
      </c>
      <c r="S66" s="184">
        <v>254199.97</v>
      </c>
      <c r="T66" s="184">
        <v>0</v>
      </c>
      <c r="U66" s="185">
        <v>5583381.2599999988</v>
      </c>
      <c r="V66" s="185">
        <v>0</v>
      </c>
      <c r="W66" s="185">
        <v>143748.03000000003</v>
      </c>
      <c r="X66" s="185">
        <v>475511.88000000006</v>
      </c>
      <c r="Y66" s="185">
        <v>3993265.37</v>
      </c>
      <c r="Z66" s="185">
        <v>1501287.0600000003</v>
      </c>
      <c r="AA66" s="185">
        <v>99681.849999999991</v>
      </c>
      <c r="AB66" s="185">
        <v>241603.43000000002</v>
      </c>
      <c r="AC66" s="185">
        <v>7662.7699999999986</v>
      </c>
      <c r="AD66" s="185">
        <v>0</v>
      </c>
      <c r="AE66" s="185">
        <v>56057.439999999995</v>
      </c>
      <c r="AF66" s="185"/>
      <c r="AG66" s="185">
        <v>590704.44000000018</v>
      </c>
      <c r="AH66" s="185"/>
      <c r="AI66" s="185"/>
      <c r="AJ66" s="185">
        <v>1065091.3</v>
      </c>
      <c r="AK66" s="185"/>
      <c r="AL66" s="185"/>
      <c r="AM66" s="185"/>
      <c r="AN66" s="185"/>
      <c r="AO66" s="185"/>
      <c r="AP66" s="185">
        <v>1522406.7099999997</v>
      </c>
      <c r="AQ66" s="185"/>
      <c r="AR66" s="185">
        <f>3168659.14+80212.59</f>
        <v>3248871.73</v>
      </c>
      <c r="AS66" s="185"/>
      <c r="AT66" s="185"/>
      <c r="AU66" s="185"/>
      <c r="AV66" s="185">
        <v>328818.33999999997</v>
      </c>
      <c r="AW66" s="185">
        <v>82641.749999999985</v>
      </c>
      <c r="AX66" s="185">
        <v>2793883.46</v>
      </c>
      <c r="AY66" s="185"/>
      <c r="AZ66" s="185">
        <v>171410.19000000009</v>
      </c>
      <c r="BA66" s="185">
        <v>1349.4</v>
      </c>
      <c r="BB66" s="185">
        <v>227839.55</v>
      </c>
      <c r="BC66" s="185">
        <v>51.91</v>
      </c>
      <c r="BD66" s="185">
        <v>15678.720000000001</v>
      </c>
      <c r="BE66" s="185">
        <v>2709894.24</v>
      </c>
      <c r="BF66" s="185">
        <v>-940340.47</v>
      </c>
      <c r="BG66" s="185">
        <v>202479.85</v>
      </c>
      <c r="BH66" s="185">
        <v>12170934.75</v>
      </c>
      <c r="BI66" s="185">
        <v>1983108.2299999997</v>
      </c>
      <c r="BJ66" s="185">
        <v>69969.56</v>
      </c>
      <c r="BK66" s="185">
        <v>2863308.17</v>
      </c>
      <c r="BL66" s="185">
        <v>493849.47</v>
      </c>
      <c r="BM66" s="185">
        <v>665578.74999999988</v>
      </c>
      <c r="BN66" s="185">
        <v>354412.33</v>
      </c>
      <c r="BO66" s="185">
        <v>43244.39</v>
      </c>
      <c r="BP66" s="185">
        <v>3961781.4999999995</v>
      </c>
      <c r="BQ66" s="185">
        <v>5340.2900000000009</v>
      </c>
      <c r="BR66" s="185">
        <v>600585.81999999995</v>
      </c>
      <c r="BS66" s="185">
        <v>10834.71</v>
      </c>
      <c r="BT66" s="185">
        <v>502.13</v>
      </c>
      <c r="BU66" s="185">
        <v>0</v>
      </c>
      <c r="BV66" s="185">
        <v>1330802.8400000001</v>
      </c>
      <c r="BW66" s="185">
        <v>301652.53000000003</v>
      </c>
      <c r="BX66" s="185">
        <v>344570.6</v>
      </c>
      <c r="BY66" s="185">
        <v>24414.03</v>
      </c>
      <c r="BZ66" s="185">
        <v>630.70000000000005</v>
      </c>
      <c r="CA66" s="185">
        <v>229508.59</v>
      </c>
      <c r="CB66" s="185">
        <v>124008.62999999999</v>
      </c>
      <c r="CC66" s="185">
        <f>4466317.73+182920.63+203046.2+5739123.06</f>
        <v>10591407.620000001</v>
      </c>
      <c r="CD66" s="249" t="s">
        <v>221</v>
      </c>
      <c r="CE66" s="195">
        <f t="shared" si="0"/>
        <v>64724254.180000022</v>
      </c>
      <c r="CF66" s="252"/>
      <c r="CH66" s="288"/>
      <c r="CI66" s="288"/>
    </row>
    <row r="67" spans="1:87" ht="12.65" customHeight="1" x14ac:dyDescent="0.35">
      <c r="A67" s="171" t="s">
        <v>6</v>
      </c>
      <c r="B67" s="175"/>
      <c r="C67" s="195">
        <f>ROUND(C51+C52,0)</f>
        <v>368069</v>
      </c>
      <c r="D67" s="195">
        <f>ROUND(D51+D52,0)</f>
        <v>1567884</v>
      </c>
      <c r="E67" s="195">
        <f t="shared" ref="E67:BP67" si="3">ROUND(E51+E52,0)</f>
        <v>2298276</v>
      </c>
      <c r="F67" s="195">
        <f t="shared" si="3"/>
        <v>0</v>
      </c>
      <c r="G67" s="195">
        <f t="shared" si="3"/>
        <v>101731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114442</v>
      </c>
      <c r="N67" s="195">
        <f t="shared" si="3"/>
        <v>5655</v>
      </c>
      <c r="O67" s="195">
        <f t="shared" si="3"/>
        <v>770240</v>
      </c>
      <c r="P67" s="195">
        <f t="shared" si="3"/>
        <v>2677040</v>
      </c>
      <c r="Q67" s="195">
        <f t="shared" si="3"/>
        <v>94819</v>
      </c>
      <c r="R67" s="195">
        <f t="shared" si="3"/>
        <v>134227</v>
      </c>
      <c r="S67" s="195">
        <f t="shared" si="3"/>
        <v>335393</v>
      </c>
      <c r="T67" s="195">
        <f t="shared" si="3"/>
        <v>0</v>
      </c>
      <c r="U67" s="195">
        <f t="shared" si="3"/>
        <v>415415</v>
      </c>
      <c r="V67" s="195">
        <f t="shared" si="3"/>
        <v>8294</v>
      </c>
      <c r="W67" s="195">
        <f t="shared" si="3"/>
        <v>221523</v>
      </c>
      <c r="X67" s="195">
        <f t="shared" si="3"/>
        <v>121137</v>
      </c>
      <c r="Y67" s="195">
        <f t="shared" si="3"/>
        <v>2982585</v>
      </c>
      <c r="Z67" s="195">
        <f t="shared" si="3"/>
        <v>1241999</v>
      </c>
      <c r="AA67" s="195">
        <f t="shared" si="3"/>
        <v>164491</v>
      </c>
      <c r="AB67" s="195">
        <f t="shared" si="3"/>
        <v>223023</v>
      </c>
      <c r="AC67" s="195">
        <f t="shared" si="3"/>
        <v>78846</v>
      </c>
      <c r="AD67" s="195">
        <f t="shared" si="3"/>
        <v>0</v>
      </c>
      <c r="AE67" s="195">
        <f t="shared" si="3"/>
        <v>190643</v>
      </c>
      <c r="AF67" s="195">
        <f t="shared" si="3"/>
        <v>0</v>
      </c>
      <c r="AG67" s="195">
        <f t="shared" si="3"/>
        <v>1055602</v>
      </c>
      <c r="AH67" s="195">
        <f t="shared" si="3"/>
        <v>0</v>
      </c>
      <c r="AI67" s="195">
        <f t="shared" si="3"/>
        <v>0</v>
      </c>
      <c r="AJ67" s="195">
        <f t="shared" si="3"/>
        <v>3170361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3097009</v>
      </c>
      <c r="AQ67" s="195">
        <f t="shared" si="3"/>
        <v>0</v>
      </c>
      <c r="AR67" s="195">
        <f t="shared" si="3"/>
        <v>97941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228823</v>
      </c>
      <c r="AW67" s="195">
        <f t="shared" si="3"/>
        <v>26637</v>
      </c>
      <c r="AX67" s="195">
        <f t="shared" si="3"/>
        <v>0</v>
      </c>
      <c r="AY67" s="195">
        <f t="shared" si="3"/>
        <v>0</v>
      </c>
      <c r="AZ67" s="195">
        <f>ROUND(AZ51+AZ52,0)</f>
        <v>777133</v>
      </c>
      <c r="BA67" s="195">
        <f>ROUND(BA51+BA52,0)</f>
        <v>7348</v>
      </c>
      <c r="BB67" s="195">
        <f t="shared" si="3"/>
        <v>0</v>
      </c>
      <c r="BC67" s="195">
        <f t="shared" si="3"/>
        <v>16371</v>
      </c>
      <c r="BD67" s="195">
        <f t="shared" si="3"/>
        <v>75348</v>
      </c>
      <c r="BE67" s="195">
        <f t="shared" si="3"/>
        <v>6227962</v>
      </c>
      <c r="BF67" s="195">
        <f t="shared" si="3"/>
        <v>61561</v>
      </c>
      <c r="BG67" s="195">
        <f t="shared" si="3"/>
        <v>25438</v>
      </c>
      <c r="BH67" s="195">
        <f t="shared" si="3"/>
        <v>5630224</v>
      </c>
      <c r="BI67" s="195">
        <f t="shared" si="3"/>
        <v>188525</v>
      </c>
      <c r="BJ67" s="195">
        <f t="shared" si="3"/>
        <v>20640</v>
      </c>
      <c r="BK67" s="195">
        <f t="shared" si="3"/>
        <v>59335</v>
      </c>
      <c r="BL67" s="195">
        <f t="shared" si="3"/>
        <v>28351</v>
      </c>
      <c r="BM67" s="195">
        <f t="shared" si="3"/>
        <v>18004</v>
      </c>
      <c r="BN67" s="195">
        <f t="shared" si="3"/>
        <v>228752</v>
      </c>
      <c r="BO67" s="195">
        <f t="shared" si="3"/>
        <v>46835</v>
      </c>
      <c r="BP67" s="195">
        <f t="shared" si="3"/>
        <v>75168</v>
      </c>
      <c r="BQ67" s="195">
        <f t="shared" ref="BQ67:CC67" si="4">ROUND(BQ51+BQ52,0)</f>
        <v>4095</v>
      </c>
      <c r="BR67" s="195">
        <f t="shared" si="4"/>
        <v>11447</v>
      </c>
      <c r="BS67" s="195">
        <f t="shared" si="4"/>
        <v>16972</v>
      </c>
      <c r="BT67" s="195">
        <f t="shared" si="4"/>
        <v>20494</v>
      </c>
      <c r="BU67" s="195">
        <f t="shared" si="4"/>
        <v>0</v>
      </c>
      <c r="BV67" s="195">
        <f t="shared" si="4"/>
        <v>69022</v>
      </c>
      <c r="BW67" s="195">
        <f t="shared" si="4"/>
        <v>23861</v>
      </c>
      <c r="BX67" s="195">
        <f t="shared" si="4"/>
        <v>16059</v>
      </c>
      <c r="BY67" s="195">
        <f t="shared" si="4"/>
        <v>269177</v>
      </c>
      <c r="BZ67" s="195">
        <f t="shared" si="4"/>
        <v>10052</v>
      </c>
      <c r="CA67" s="195">
        <f t="shared" si="4"/>
        <v>5112</v>
      </c>
      <c r="CB67" s="195">
        <f t="shared" si="4"/>
        <v>34354</v>
      </c>
      <c r="CC67" s="195">
        <f t="shared" si="4"/>
        <v>68397</v>
      </c>
      <c r="CD67" s="249" t="s">
        <v>221</v>
      </c>
      <c r="CE67" s="195">
        <f t="shared" si="0"/>
        <v>35828142</v>
      </c>
      <c r="CF67" s="252"/>
      <c r="CH67" s="288"/>
      <c r="CI67" s="288"/>
    </row>
    <row r="68" spans="1:87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>
        <f>13388.94+58802.81</f>
        <v>72191.75</v>
      </c>
      <c r="N68" s="184"/>
      <c r="O68" s="184"/>
      <c r="P68" s="185">
        <v>81075.240000000005</v>
      </c>
      <c r="Q68" s="185">
        <v>648.77</v>
      </c>
      <c r="R68" s="185">
        <v>0</v>
      </c>
      <c r="S68" s="185">
        <v>416.93</v>
      </c>
      <c r="T68" s="185">
        <v>0</v>
      </c>
      <c r="U68" s="185">
        <v>10067.86</v>
      </c>
      <c r="V68" s="185">
        <v>0</v>
      </c>
      <c r="W68" s="185">
        <v>0</v>
      </c>
      <c r="X68" s="185">
        <v>0</v>
      </c>
      <c r="Y68" s="185">
        <v>446003.63999999996</v>
      </c>
      <c r="Z68" s="185">
        <v>0</v>
      </c>
      <c r="AA68" s="185">
        <v>0</v>
      </c>
      <c r="AB68" s="185">
        <v>0</v>
      </c>
      <c r="AC68" s="185">
        <v>473.98</v>
      </c>
      <c r="AD68" s="185">
        <v>0</v>
      </c>
      <c r="AE68" s="185">
        <v>153572.42000000001</v>
      </c>
      <c r="AF68" s="287"/>
      <c r="AG68" s="185">
        <v>599098.54</v>
      </c>
      <c r="AH68" s="185"/>
      <c r="AI68" s="185"/>
      <c r="AJ68" s="185">
        <v>136052.95000000001</v>
      </c>
      <c r="AK68" s="185"/>
      <c r="AL68" s="185"/>
      <c r="AM68" s="185"/>
      <c r="AN68" s="185"/>
      <c r="AO68" s="185"/>
      <c r="AP68" s="185">
        <v>6244110.3200000003</v>
      </c>
      <c r="AQ68" s="185"/>
      <c r="AR68" s="185">
        <f>895564.06+529225.27</f>
        <v>1424789.33</v>
      </c>
      <c r="AS68" s="185"/>
      <c r="AT68" s="185"/>
      <c r="AU68" s="185"/>
      <c r="AV68" s="185"/>
      <c r="AW68" s="185"/>
      <c r="AX68" s="185">
        <v>1829844.69</v>
      </c>
      <c r="AY68" s="185"/>
      <c r="AZ68" s="185">
        <v>8446.81</v>
      </c>
      <c r="BA68" s="185">
        <v>0</v>
      </c>
      <c r="BB68" s="185">
        <v>0</v>
      </c>
      <c r="BC68" s="185">
        <v>0</v>
      </c>
      <c r="BD68" s="185">
        <v>0</v>
      </c>
      <c r="BE68" s="185">
        <v>2955908.89</v>
      </c>
      <c r="BF68" s="185">
        <v>0</v>
      </c>
      <c r="BG68" s="185">
        <v>9527.4699999999993</v>
      </c>
      <c r="BH68" s="185">
        <v>0</v>
      </c>
      <c r="BI68" s="185">
        <v>1250676.6499999999</v>
      </c>
      <c r="BJ68" s="185">
        <v>0</v>
      </c>
      <c r="BK68" s="185">
        <v>24184.39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150</v>
      </c>
      <c r="BS68" s="185">
        <v>0</v>
      </c>
      <c r="BT68" s="185">
        <v>0</v>
      </c>
      <c r="BU68" s="185">
        <v>0</v>
      </c>
      <c r="BV68" s="185">
        <v>69016.39</v>
      </c>
      <c r="BW68" s="185">
        <v>0</v>
      </c>
      <c r="BX68" s="185">
        <v>0</v>
      </c>
      <c r="BY68" s="185">
        <v>0</v>
      </c>
      <c r="BZ68" s="185">
        <v>0</v>
      </c>
      <c r="CA68" s="185">
        <v>5500</v>
      </c>
      <c r="CB68" s="185">
        <v>141178.56</v>
      </c>
      <c r="CC68" s="185">
        <v>1170</v>
      </c>
      <c r="CD68" s="249" t="s">
        <v>221</v>
      </c>
      <c r="CE68" s="195">
        <f t="shared" si="0"/>
        <v>15464105.580000004</v>
      </c>
      <c r="CF68" s="252"/>
      <c r="CH68" s="288"/>
      <c r="CI68" s="288"/>
    </row>
    <row r="69" spans="1:87" ht="12.65" customHeight="1" x14ac:dyDescent="0.35">
      <c r="A69" s="171" t="s">
        <v>241</v>
      </c>
      <c r="B69" s="175"/>
      <c r="C69" s="184">
        <v>37148.99</v>
      </c>
      <c r="D69" s="184">
        <v>2380</v>
      </c>
      <c r="E69" s="185">
        <v>5683.9400000000005</v>
      </c>
      <c r="F69" s="185">
        <v>40291.07</v>
      </c>
      <c r="G69" s="184">
        <v>10122</v>
      </c>
      <c r="H69" s="184"/>
      <c r="I69" s="185"/>
      <c r="J69" s="185"/>
      <c r="K69" s="185"/>
      <c r="L69" s="185"/>
      <c r="M69" s="184">
        <f>36706.29+8701.34</f>
        <v>45407.630000000005</v>
      </c>
      <c r="N69" s="184">
        <v>139106.62999999998</v>
      </c>
      <c r="O69" s="184">
        <v>15721.03</v>
      </c>
      <c r="P69" s="185">
        <v>15673.200000000003</v>
      </c>
      <c r="Q69" s="185">
        <v>5461.5599999999995</v>
      </c>
      <c r="R69" s="224">
        <v>0</v>
      </c>
      <c r="S69" s="185">
        <v>125</v>
      </c>
      <c r="T69" s="184">
        <v>0</v>
      </c>
      <c r="U69" s="185">
        <v>37002.99</v>
      </c>
      <c r="V69" s="185">
        <v>0</v>
      </c>
      <c r="W69" s="184">
        <v>1476.23</v>
      </c>
      <c r="X69" s="185">
        <v>3180.9</v>
      </c>
      <c r="Y69" s="185">
        <v>58660.400000000009</v>
      </c>
      <c r="Z69" s="185">
        <v>21101.65</v>
      </c>
      <c r="AA69" s="185">
        <v>9863</v>
      </c>
      <c r="AB69" s="185">
        <v>35023.440000000002</v>
      </c>
      <c r="AC69" s="185">
        <v>2358.0500000000002</v>
      </c>
      <c r="AD69" s="185">
        <v>0</v>
      </c>
      <c r="AE69" s="185">
        <v>11190.2</v>
      </c>
      <c r="AF69" s="287"/>
      <c r="AG69" s="185">
        <v>15739.159999999998</v>
      </c>
      <c r="AH69" s="185"/>
      <c r="AI69" s="185"/>
      <c r="AJ69" s="185">
        <v>1116749.6399999999</v>
      </c>
      <c r="AK69" s="185"/>
      <c r="AL69" s="185"/>
      <c r="AM69" s="185"/>
      <c r="AN69" s="185"/>
      <c r="AO69" s="184"/>
      <c r="AP69" s="185">
        <v>1004362.5999999999</v>
      </c>
      <c r="AQ69" s="184"/>
      <c r="AR69" s="184">
        <f>1212023.37+78312.06</f>
        <v>1290335.4300000002</v>
      </c>
      <c r="AS69" s="184"/>
      <c r="AT69" s="184"/>
      <c r="AU69" s="185"/>
      <c r="AV69" s="185">
        <v>14217.83</v>
      </c>
      <c r="AW69" s="185">
        <v>81451.45</v>
      </c>
      <c r="AX69" s="185">
        <v>19066.3</v>
      </c>
      <c r="AY69" s="185"/>
      <c r="AZ69" s="185">
        <v>644.29999999999995</v>
      </c>
      <c r="BA69" s="185">
        <v>0</v>
      </c>
      <c r="BB69" s="185">
        <v>0</v>
      </c>
      <c r="BC69" s="185">
        <v>360.59</v>
      </c>
      <c r="BD69" s="185">
        <v>231474</v>
      </c>
      <c r="BE69" s="185">
        <v>191917.08</v>
      </c>
      <c r="BF69" s="185">
        <v>385</v>
      </c>
      <c r="BG69" s="185">
        <v>529.88</v>
      </c>
      <c r="BH69" s="224">
        <v>44888.58</v>
      </c>
      <c r="BI69" s="185">
        <v>13505.57</v>
      </c>
      <c r="BJ69" s="185">
        <v>3053.4</v>
      </c>
      <c r="BK69" s="185">
        <v>2990.91</v>
      </c>
      <c r="BL69" s="185">
        <v>1068.76</v>
      </c>
      <c r="BM69" s="185">
        <v>23775.29</v>
      </c>
      <c r="BN69" s="185">
        <v>816533.99</v>
      </c>
      <c r="BO69" s="185">
        <v>1232.6100000000001</v>
      </c>
      <c r="BP69" s="185">
        <v>17859.809999999998</v>
      </c>
      <c r="BQ69" s="185">
        <v>1383.5</v>
      </c>
      <c r="BR69" s="185">
        <v>25815.81</v>
      </c>
      <c r="BS69" s="185">
        <v>0</v>
      </c>
      <c r="BT69" s="185">
        <v>280.51</v>
      </c>
      <c r="BU69" s="185">
        <v>293508.33</v>
      </c>
      <c r="BV69" s="185">
        <v>6901.8</v>
      </c>
      <c r="BW69" s="185">
        <v>17453.650000000001</v>
      </c>
      <c r="BX69" s="185">
        <v>34895.18</v>
      </c>
      <c r="BY69" s="185">
        <v>12261.65</v>
      </c>
      <c r="BZ69" s="185">
        <v>463</v>
      </c>
      <c r="CA69" s="185">
        <v>394398.52</v>
      </c>
      <c r="CB69" s="185">
        <v>3188.14</v>
      </c>
      <c r="CC69" s="185">
        <v>4054403.21</v>
      </c>
      <c r="CD69" s="188">
        <f>1377234.55+1370946.06+5242733.51+56530.38+1115557.86</f>
        <v>9163002.3599999994</v>
      </c>
      <c r="CE69" s="195">
        <f t="shared" si="0"/>
        <v>19397075.75</v>
      </c>
      <c r="CF69" s="252"/>
      <c r="CH69" s="288"/>
      <c r="CI69" s="288"/>
    </row>
    <row r="70" spans="1:87" ht="12.65" customHeight="1" x14ac:dyDescent="0.35">
      <c r="A70" s="171" t="s">
        <v>242</v>
      </c>
      <c r="B70" s="175"/>
      <c r="C70" s="184">
        <v>21236.37</v>
      </c>
      <c r="D70" s="184">
        <v>0</v>
      </c>
      <c r="E70" s="184">
        <v>49.92</v>
      </c>
      <c r="F70" s="185">
        <v>0</v>
      </c>
      <c r="G70" s="184">
        <v>0</v>
      </c>
      <c r="H70" s="184"/>
      <c r="I70" s="184"/>
      <c r="J70" s="185"/>
      <c r="K70" s="185"/>
      <c r="L70" s="185"/>
      <c r="M70" s="184">
        <v>207292.42</v>
      </c>
      <c r="N70" s="184">
        <v>430166.16</v>
      </c>
      <c r="O70" s="184">
        <v>22321.45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657810.88</v>
      </c>
      <c r="V70" s="184">
        <v>2805.32</v>
      </c>
      <c r="W70" s="184">
        <v>0</v>
      </c>
      <c r="X70" s="185">
        <v>0</v>
      </c>
      <c r="Y70" s="185">
        <v>12919.22</v>
      </c>
      <c r="Z70" s="185">
        <v>17409.3</v>
      </c>
      <c r="AA70" s="185">
        <v>0</v>
      </c>
      <c r="AB70" s="185">
        <v>1517.98</v>
      </c>
      <c r="AC70" s="185">
        <v>0</v>
      </c>
      <c r="AD70" s="185">
        <v>0</v>
      </c>
      <c r="AE70" s="185">
        <v>4379.49</v>
      </c>
      <c r="AF70" s="185"/>
      <c r="AG70" s="185">
        <v>4296.9799999999996</v>
      </c>
      <c r="AH70" s="185"/>
      <c r="AI70" s="185"/>
      <c r="AJ70" s="185">
        <v>3669978.77</v>
      </c>
      <c r="AK70" s="185"/>
      <c r="AL70" s="185"/>
      <c r="AM70" s="185"/>
      <c r="AN70" s="185"/>
      <c r="AO70" s="185"/>
      <c r="AP70" s="185">
        <v>3285152.58</v>
      </c>
      <c r="AQ70" s="185"/>
      <c r="AR70" s="185">
        <f>69593.86+2597</f>
        <v>72190.86</v>
      </c>
      <c r="AS70" s="185"/>
      <c r="AT70" s="185"/>
      <c r="AU70" s="185"/>
      <c r="AV70" s="185">
        <v>6046951.4500000002</v>
      </c>
      <c r="AW70" s="185">
        <v>3917309.72</v>
      </c>
      <c r="AX70" s="185"/>
      <c r="AY70" s="185"/>
      <c r="AZ70" s="185">
        <v>1442909.31</v>
      </c>
      <c r="BA70" s="185"/>
      <c r="BB70" s="185"/>
      <c r="BC70" s="185"/>
      <c r="BD70" s="185">
        <v>7.31</v>
      </c>
      <c r="BE70" s="185">
        <v>6737497.2699999996</v>
      </c>
      <c r="BF70" s="185">
        <v>8589.31</v>
      </c>
      <c r="BG70" s="185">
        <v>304515.5</v>
      </c>
      <c r="BH70" s="185">
        <v>94262.31</v>
      </c>
      <c r="BI70" s="185">
        <v>2194638.06</v>
      </c>
      <c r="BJ70" s="185">
        <v>170477.17</v>
      </c>
      <c r="BK70" s="185">
        <v>12815</v>
      </c>
      <c r="BL70" s="185">
        <v>415604.79</v>
      </c>
      <c r="BM70" s="185">
        <v>0</v>
      </c>
      <c r="BN70" s="185">
        <v>0</v>
      </c>
      <c r="BO70" s="185">
        <v>230</v>
      </c>
      <c r="BP70" s="185">
        <v>0</v>
      </c>
      <c r="BQ70" s="185">
        <v>0</v>
      </c>
      <c r="BR70" s="185">
        <v>41.78</v>
      </c>
      <c r="BS70" s="185">
        <v>458882.5</v>
      </c>
      <c r="BT70" s="185">
        <v>48.96</v>
      </c>
      <c r="BU70" s="185">
        <v>15000</v>
      </c>
      <c r="BV70" s="185">
        <v>1290.44</v>
      </c>
      <c r="BW70" s="185">
        <v>116410</v>
      </c>
      <c r="BX70" s="185">
        <v>847145.68</v>
      </c>
      <c r="BY70" s="185">
        <v>0</v>
      </c>
      <c r="BZ70" s="185">
        <v>0</v>
      </c>
      <c r="CA70" s="185">
        <v>0</v>
      </c>
      <c r="CB70" s="185">
        <v>1483854.17</v>
      </c>
      <c r="CC70" s="185">
        <v>12725051.5</v>
      </c>
      <c r="CD70" s="188">
        <v>1597765.99</v>
      </c>
      <c r="CE70" s="195">
        <f t="shared" si="0"/>
        <v>47000825.919999994</v>
      </c>
      <c r="CF70" s="252"/>
      <c r="CH70" s="288"/>
      <c r="CI70" s="288"/>
    </row>
    <row r="71" spans="1:87" ht="12.65" customHeight="1" x14ac:dyDescent="0.35">
      <c r="A71" s="171" t="s">
        <v>243</v>
      </c>
      <c r="B71" s="175"/>
      <c r="C71" s="195">
        <f>SUM(C61:C68)+C69-C70</f>
        <v>21552545.400000002</v>
      </c>
      <c r="D71" s="195">
        <f t="shared" ref="D71:AI71" si="5">SUM(D61:D69)-D70</f>
        <v>10539740.489999998</v>
      </c>
      <c r="E71" s="195">
        <f t="shared" si="5"/>
        <v>33958631.68</v>
      </c>
      <c r="F71" s="195">
        <f t="shared" si="5"/>
        <v>879057.72000000009</v>
      </c>
      <c r="G71" s="195">
        <f t="shared" si="5"/>
        <v>2482060.7999999998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6488093.5299999993</v>
      </c>
      <c r="N71" s="195">
        <f t="shared" si="5"/>
        <v>18217973.169999998</v>
      </c>
      <c r="O71" s="195">
        <f t="shared" si="5"/>
        <v>26227738.5</v>
      </c>
      <c r="P71" s="195">
        <f t="shared" si="5"/>
        <v>53477336.250000015</v>
      </c>
      <c r="Q71" s="195">
        <f t="shared" si="5"/>
        <v>7578328.2399999993</v>
      </c>
      <c r="R71" s="195">
        <f t="shared" si="5"/>
        <v>1294192.3599999999</v>
      </c>
      <c r="S71" s="195">
        <f t="shared" si="5"/>
        <v>2899012.1500000004</v>
      </c>
      <c r="T71" s="195">
        <f t="shared" si="5"/>
        <v>0</v>
      </c>
      <c r="U71" s="195">
        <f t="shared" si="5"/>
        <v>17543932.050000001</v>
      </c>
      <c r="V71" s="195">
        <f t="shared" si="5"/>
        <v>218160.22000000003</v>
      </c>
      <c r="W71" s="195">
        <f t="shared" si="5"/>
        <v>1361517.1</v>
      </c>
      <c r="X71" s="195">
        <f t="shared" si="5"/>
        <v>2606730.7199999997</v>
      </c>
      <c r="Y71" s="195">
        <f t="shared" si="5"/>
        <v>30539349.609999999</v>
      </c>
      <c r="Z71" s="195">
        <f t="shared" si="5"/>
        <v>8133401.04</v>
      </c>
      <c r="AA71" s="195">
        <f t="shared" si="5"/>
        <v>1227813.33</v>
      </c>
      <c r="AB71" s="195">
        <f t="shared" si="5"/>
        <v>25126454.330000006</v>
      </c>
      <c r="AC71" s="195">
        <f t="shared" si="5"/>
        <v>3776362.15</v>
      </c>
      <c r="AD71" s="195">
        <f t="shared" si="5"/>
        <v>0</v>
      </c>
      <c r="AE71" s="195">
        <f t="shared" si="5"/>
        <v>6331645.6100000013</v>
      </c>
      <c r="AF71" s="195">
        <f t="shared" si="5"/>
        <v>0</v>
      </c>
      <c r="AG71" s="195">
        <f>SUM(AG61:AG69)-AG70</f>
        <v>16616042.75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89150309.269999981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73089663.260000005</v>
      </c>
      <c r="AQ71" s="195">
        <f t="shared" si="6"/>
        <v>0</v>
      </c>
      <c r="AR71" s="195">
        <f t="shared" si="6"/>
        <v>65774180.809999995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3680391.3200000012</v>
      </c>
      <c r="AW71" s="195">
        <f t="shared" si="6"/>
        <v>-1520587.2999999998</v>
      </c>
      <c r="AX71" s="195">
        <f t="shared" si="6"/>
        <v>5028771.9899999993</v>
      </c>
      <c r="AY71" s="195">
        <f t="shared" si="6"/>
        <v>0</v>
      </c>
      <c r="AZ71" s="195">
        <f t="shared" si="6"/>
        <v>4909692.3099999987</v>
      </c>
      <c r="BA71" s="195">
        <f t="shared" si="6"/>
        <v>368842.56000000006</v>
      </c>
      <c r="BB71" s="195">
        <f t="shared" si="6"/>
        <v>227839.55</v>
      </c>
      <c r="BC71" s="195">
        <f t="shared" si="6"/>
        <v>342608.7</v>
      </c>
      <c r="BD71" s="195">
        <f t="shared" si="6"/>
        <v>3185816.23</v>
      </c>
      <c r="BE71" s="195">
        <f t="shared" si="6"/>
        <v>14451946.390000001</v>
      </c>
      <c r="BF71" s="195">
        <f t="shared" si="6"/>
        <v>5982507.4100000001</v>
      </c>
      <c r="BG71" s="195">
        <f t="shared" si="6"/>
        <v>2620613.54</v>
      </c>
      <c r="BH71" s="195">
        <f t="shared" si="6"/>
        <v>35119633.379999995</v>
      </c>
      <c r="BI71" s="195">
        <f t="shared" si="6"/>
        <v>12268848.76</v>
      </c>
      <c r="BJ71" s="195">
        <f t="shared" si="6"/>
        <v>1859104.5599999998</v>
      </c>
      <c r="BK71" s="195">
        <f t="shared" si="6"/>
        <v>9749778.1099999994</v>
      </c>
      <c r="BL71" s="195">
        <f t="shared" si="6"/>
        <v>5318745.74</v>
      </c>
      <c r="BM71" s="195">
        <f t="shared" si="6"/>
        <v>4833478.4899999993</v>
      </c>
      <c r="BN71" s="195">
        <f t="shared" si="6"/>
        <v>10645467.970000001</v>
      </c>
      <c r="BO71" s="195">
        <f t="shared" si="6"/>
        <v>1282071.1199999999</v>
      </c>
      <c r="BP71" s="195">
        <f t="shared" ref="BP71:CC71" si="7">SUM(BP61:BP69)-BP70</f>
        <v>5845316.419999999</v>
      </c>
      <c r="BQ71" s="195">
        <f t="shared" si="7"/>
        <v>655488.51</v>
      </c>
      <c r="BR71" s="195">
        <f t="shared" si="7"/>
        <v>4815164.0799999991</v>
      </c>
      <c r="BS71" s="195">
        <f t="shared" si="7"/>
        <v>208586.09000000008</v>
      </c>
      <c r="BT71" s="195">
        <f t="shared" si="7"/>
        <v>204493.85000000003</v>
      </c>
      <c r="BU71" s="195">
        <f t="shared" si="7"/>
        <v>278655.23000000004</v>
      </c>
      <c r="BV71" s="195">
        <f t="shared" si="7"/>
        <v>6068270.3199999994</v>
      </c>
      <c r="BW71" s="195">
        <f t="shared" si="7"/>
        <v>3555395.4699999993</v>
      </c>
      <c r="BX71" s="195">
        <f t="shared" si="7"/>
        <v>7126403.6299999999</v>
      </c>
      <c r="BY71" s="195">
        <f t="shared" si="7"/>
        <v>1880918.0799999998</v>
      </c>
      <c r="BZ71" s="195">
        <f t="shared" si="7"/>
        <v>5449476.1699999999</v>
      </c>
      <c r="CA71" s="195">
        <f t="shared" si="7"/>
        <v>2703403.01</v>
      </c>
      <c r="CB71" s="195">
        <f t="shared" si="7"/>
        <v>5850458.8099999996</v>
      </c>
      <c r="CC71" s="195">
        <f t="shared" si="7"/>
        <v>7198573.2300000004</v>
      </c>
      <c r="CD71" s="245">
        <f>CD69-CD70</f>
        <v>7565236.3699999992</v>
      </c>
      <c r="CE71" s="195">
        <f>SUM(CE61:CE69)-CE70</f>
        <v>706851682.64000022</v>
      </c>
      <c r="CF71" s="252"/>
      <c r="CH71" s="288"/>
      <c r="CI71" s="288"/>
    </row>
    <row r="72" spans="1:87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  <c r="CH72" s="288"/>
      <c r="CI72" s="288"/>
    </row>
    <row r="73" spans="1:87" ht="12.65" customHeight="1" x14ac:dyDescent="0.35">
      <c r="A73" s="171" t="s">
        <v>245</v>
      </c>
      <c r="B73" s="175"/>
      <c r="C73" s="184">
        <v>77609527.890000001</v>
      </c>
      <c r="D73" s="184">
        <v>44221972.640000001</v>
      </c>
      <c r="E73" s="185">
        <v>130300490.08</v>
      </c>
      <c r="F73" s="185">
        <v>0</v>
      </c>
      <c r="G73" s="184">
        <v>14206443.800000001</v>
      </c>
      <c r="H73" s="184"/>
      <c r="I73" s="185"/>
      <c r="J73" s="185"/>
      <c r="K73" s="185"/>
      <c r="L73" s="185"/>
      <c r="M73" s="184">
        <f>6425252.55+1531.18-540</f>
        <v>6426243.7299999995</v>
      </c>
      <c r="N73" s="184">
        <v>17470574</v>
      </c>
      <c r="O73" s="184">
        <v>104998532</v>
      </c>
      <c r="P73" s="185">
        <v>83897462</v>
      </c>
      <c r="Q73" s="185">
        <v>5173190</v>
      </c>
      <c r="R73" s="185">
        <v>11145067</v>
      </c>
      <c r="S73" s="185">
        <v>0</v>
      </c>
      <c r="T73" s="185">
        <v>0</v>
      </c>
      <c r="U73" s="185">
        <v>66184421.359999999</v>
      </c>
      <c r="V73" s="185">
        <v>1613505</v>
      </c>
      <c r="W73" s="185">
        <v>5135959</v>
      </c>
      <c r="X73" s="185">
        <v>21139298</v>
      </c>
      <c r="Y73" s="185">
        <v>43196583</v>
      </c>
      <c r="Z73" s="185">
        <v>860974</v>
      </c>
      <c r="AA73" s="185">
        <v>1050212</v>
      </c>
      <c r="AB73" s="185">
        <v>71699583.819999993</v>
      </c>
      <c r="AC73" s="185">
        <v>19679502</v>
      </c>
      <c r="AD73" s="185">
        <v>0</v>
      </c>
      <c r="AE73" s="185">
        <v>14036401</v>
      </c>
      <c r="AF73" s="185"/>
      <c r="AG73" s="185">
        <v>34949492.920000002</v>
      </c>
      <c r="AH73" s="185"/>
      <c r="AI73" s="185"/>
      <c r="AJ73" s="185">
        <v>25565860.140000001</v>
      </c>
      <c r="AK73" s="185"/>
      <c r="AL73" s="185"/>
      <c r="AM73" s="185"/>
      <c r="AN73" s="185"/>
      <c r="AO73" s="185"/>
      <c r="AP73" s="185">
        <v>3783501.43</v>
      </c>
      <c r="AQ73" s="185"/>
      <c r="AR73" s="185">
        <v>13780.58</v>
      </c>
      <c r="AS73" s="185"/>
      <c r="AT73" s="185"/>
      <c r="AU73" s="185"/>
      <c r="AV73" s="185">
        <f>2081068-92392</f>
        <v>1988676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806347253.38999987</v>
      </c>
      <c r="CF73" s="252"/>
      <c r="CH73" s="288"/>
      <c r="CI73" s="288"/>
    </row>
    <row r="74" spans="1:87" ht="12.65" customHeight="1" x14ac:dyDescent="0.35">
      <c r="A74" s="171" t="s">
        <v>246</v>
      </c>
      <c r="B74" s="175"/>
      <c r="C74" s="184">
        <v>-76965</v>
      </c>
      <c r="D74" s="184">
        <v>128318</v>
      </c>
      <c r="E74" s="185">
        <v>3042168.25</v>
      </c>
      <c r="F74" s="185">
        <v>0</v>
      </c>
      <c r="G74" s="184">
        <v>0</v>
      </c>
      <c r="H74" s="184"/>
      <c r="I74" s="184"/>
      <c r="J74" s="185"/>
      <c r="K74" s="185"/>
      <c r="L74" s="185"/>
      <c r="M74" s="184">
        <v>234069</v>
      </c>
      <c r="N74" s="184">
        <v>1057493.02</v>
      </c>
      <c r="O74" s="184">
        <v>4011493</v>
      </c>
      <c r="P74" s="185">
        <v>181023533</v>
      </c>
      <c r="Q74" s="185">
        <v>18942642</v>
      </c>
      <c r="R74" s="185">
        <v>30327902</v>
      </c>
      <c r="S74" s="185">
        <v>0</v>
      </c>
      <c r="T74" s="185">
        <v>0</v>
      </c>
      <c r="U74" s="185">
        <v>52893135.5</v>
      </c>
      <c r="V74" s="185">
        <v>544677</v>
      </c>
      <c r="W74" s="185">
        <v>10048637</v>
      </c>
      <c r="X74" s="185">
        <v>42948403</v>
      </c>
      <c r="Y74" s="185">
        <v>124081506.84</v>
      </c>
      <c r="Z74" s="185">
        <v>38516890</v>
      </c>
      <c r="AA74" s="185">
        <v>3610414</v>
      </c>
      <c r="AB74" s="185">
        <v>68859984.060000002</v>
      </c>
      <c r="AC74" s="185">
        <v>606808</v>
      </c>
      <c r="AD74" s="185">
        <v>0</v>
      </c>
      <c r="AE74" s="185">
        <v>15036713</v>
      </c>
      <c r="AF74" s="185"/>
      <c r="AG74" s="185">
        <v>112603487.87</v>
      </c>
      <c r="AH74" s="185"/>
      <c r="AI74" s="185"/>
      <c r="AJ74" s="185">
        <v>142159012.60000002</v>
      </c>
      <c r="AK74" s="185"/>
      <c r="AL74" s="185"/>
      <c r="AM74" s="185"/>
      <c r="AN74" s="185"/>
      <c r="AO74" s="185"/>
      <c r="AP74" s="185">
        <v>109486875.23</v>
      </c>
      <c r="AQ74" s="185"/>
      <c r="AR74" s="185">
        <v>129888230.65000001</v>
      </c>
      <c r="AS74" s="185"/>
      <c r="AT74" s="185"/>
      <c r="AU74" s="185"/>
      <c r="AV74" s="185">
        <f>7884647.28+160810+1431+155846</f>
        <v>8202734.2800000003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1098178162.3000002</v>
      </c>
      <c r="CF74" s="252"/>
      <c r="CH74" s="288"/>
      <c r="CI74" s="288"/>
    </row>
    <row r="75" spans="1:87" ht="12.65" customHeight="1" x14ac:dyDescent="0.35">
      <c r="A75" s="171" t="s">
        <v>247</v>
      </c>
      <c r="B75" s="175"/>
      <c r="C75" s="195">
        <f t="shared" ref="C75:I75" si="9">SUM(C73:C74)</f>
        <v>77532562.890000001</v>
      </c>
      <c r="D75" s="195">
        <f t="shared" si="9"/>
        <v>44350290.640000001</v>
      </c>
      <c r="E75" s="195">
        <f t="shared" si="9"/>
        <v>133342658.33</v>
      </c>
      <c r="F75" s="195">
        <f t="shared" si="9"/>
        <v>0</v>
      </c>
      <c r="G75" s="195">
        <f t="shared" si="9"/>
        <v>14206443.800000001</v>
      </c>
      <c r="H75" s="195">
        <f t="shared" si="9"/>
        <v>0</v>
      </c>
      <c r="I75" s="195">
        <f t="shared" si="9"/>
        <v>0</v>
      </c>
      <c r="J75" s="195">
        <f t="shared" ref="J75:AV75" si="10">SUM(J73:J74)</f>
        <v>0</v>
      </c>
      <c r="K75" s="195">
        <f t="shared" si="10"/>
        <v>0</v>
      </c>
      <c r="L75" s="195">
        <f t="shared" si="10"/>
        <v>0</v>
      </c>
      <c r="M75" s="195">
        <f t="shared" si="10"/>
        <v>6660312.7299999995</v>
      </c>
      <c r="N75" s="195">
        <f t="shared" si="10"/>
        <v>18528067.02</v>
      </c>
      <c r="O75" s="195">
        <f t="shared" si="10"/>
        <v>109010025</v>
      </c>
      <c r="P75" s="195">
        <f t="shared" si="10"/>
        <v>264920995</v>
      </c>
      <c r="Q75" s="195">
        <f t="shared" si="10"/>
        <v>24115832</v>
      </c>
      <c r="R75" s="195">
        <f t="shared" si="10"/>
        <v>41472969</v>
      </c>
      <c r="S75" s="195">
        <f t="shared" si="10"/>
        <v>0</v>
      </c>
      <c r="T75" s="195">
        <f t="shared" si="10"/>
        <v>0</v>
      </c>
      <c r="U75" s="195">
        <f t="shared" si="10"/>
        <v>119077556.86</v>
      </c>
      <c r="V75" s="195">
        <f t="shared" si="10"/>
        <v>2158182</v>
      </c>
      <c r="W75" s="195">
        <f t="shared" si="10"/>
        <v>15184596</v>
      </c>
      <c r="X75" s="195">
        <f t="shared" si="10"/>
        <v>64087701</v>
      </c>
      <c r="Y75" s="195">
        <f t="shared" si="10"/>
        <v>167278089.84</v>
      </c>
      <c r="Z75" s="195">
        <f t="shared" si="10"/>
        <v>39377864</v>
      </c>
      <c r="AA75" s="195">
        <f t="shared" si="10"/>
        <v>4660626</v>
      </c>
      <c r="AB75" s="195">
        <f t="shared" si="10"/>
        <v>140559567.88</v>
      </c>
      <c r="AC75" s="195">
        <f t="shared" si="10"/>
        <v>20286310</v>
      </c>
      <c r="AD75" s="195">
        <f t="shared" si="10"/>
        <v>0</v>
      </c>
      <c r="AE75" s="195">
        <f t="shared" si="10"/>
        <v>29073114</v>
      </c>
      <c r="AF75" s="195">
        <f t="shared" si="10"/>
        <v>0</v>
      </c>
      <c r="AG75" s="195">
        <f t="shared" si="10"/>
        <v>147552980.79000002</v>
      </c>
      <c r="AH75" s="195">
        <f t="shared" si="10"/>
        <v>0</v>
      </c>
      <c r="AI75" s="195">
        <f t="shared" si="10"/>
        <v>0</v>
      </c>
      <c r="AJ75" s="195">
        <f t="shared" si="10"/>
        <v>167724872.74000001</v>
      </c>
      <c r="AK75" s="195">
        <f t="shared" si="10"/>
        <v>0</v>
      </c>
      <c r="AL75" s="195">
        <f t="shared" si="10"/>
        <v>0</v>
      </c>
      <c r="AM75" s="195">
        <f t="shared" si="10"/>
        <v>0</v>
      </c>
      <c r="AN75" s="195">
        <f t="shared" si="10"/>
        <v>0</v>
      </c>
      <c r="AO75" s="195">
        <f t="shared" si="10"/>
        <v>0</v>
      </c>
      <c r="AP75" s="195">
        <f t="shared" si="10"/>
        <v>113270376.66000001</v>
      </c>
      <c r="AQ75" s="195">
        <f t="shared" si="10"/>
        <v>0</v>
      </c>
      <c r="AR75" s="195">
        <f t="shared" si="10"/>
        <v>129902011.23</v>
      </c>
      <c r="AS75" s="195">
        <f t="shared" si="10"/>
        <v>0</v>
      </c>
      <c r="AT75" s="195">
        <f t="shared" si="10"/>
        <v>0</v>
      </c>
      <c r="AU75" s="195">
        <f t="shared" si="10"/>
        <v>0</v>
      </c>
      <c r="AV75" s="195">
        <f t="shared" si="10"/>
        <v>10191410.280000001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1904525415.6900003</v>
      </c>
      <c r="CF75" s="252"/>
      <c r="CH75" s="288"/>
      <c r="CI75" s="288"/>
    </row>
    <row r="76" spans="1:87" ht="12.65" customHeight="1" x14ac:dyDescent="0.35">
      <c r="A76" s="171" t="s">
        <v>248</v>
      </c>
      <c r="B76" s="175"/>
      <c r="C76" s="184">
        <v>31983</v>
      </c>
      <c r="D76" s="184">
        <v>24368</v>
      </c>
      <c r="E76" s="185">
        <v>112482</v>
      </c>
      <c r="F76" s="185"/>
      <c r="G76" s="184">
        <v>9095</v>
      </c>
      <c r="H76" s="184"/>
      <c r="I76" s="185"/>
      <c r="J76" s="185"/>
      <c r="K76" s="185"/>
      <c r="L76" s="185"/>
      <c r="M76" s="185">
        <v>20520</v>
      </c>
      <c r="N76" s="185">
        <v>5055</v>
      </c>
      <c r="O76" s="185">
        <v>54397</v>
      </c>
      <c r="P76" s="185">
        <v>71966</v>
      </c>
      <c r="Q76" s="185">
        <v>5119</v>
      </c>
      <c r="R76" s="185">
        <v>651</v>
      </c>
      <c r="S76" s="185">
        <v>10270</v>
      </c>
      <c r="T76" s="185"/>
      <c r="U76" s="185">
        <v>15470</v>
      </c>
      <c r="V76" s="185">
        <v>298</v>
      </c>
      <c r="W76" s="185">
        <v>3104</v>
      </c>
      <c r="X76" s="185">
        <v>3166</v>
      </c>
      <c r="Y76" s="185">
        <v>50628</v>
      </c>
      <c r="Z76" s="185">
        <v>16493</v>
      </c>
      <c r="AA76" s="185">
        <v>1139</v>
      </c>
      <c r="AB76" s="185">
        <v>7695</v>
      </c>
      <c r="AC76" s="185">
        <v>2635</v>
      </c>
      <c r="AD76" s="185"/>
      <c r="AE76" s="185">
        <v>17259</v>
      </c>
      <c r="AF76" s="185"/>
      <c r="AG76" s="185">
        <v>55060</v>
      </c>
      <c r="AH76" s="185"/>
      <c r="AI76" s="185"/>
      <c r="AJ76" s="185">
        <v>144637</v>
      </c>
      <c r="AK76" s="185"/>
      <c r="AL76" s="185"/>
      <c r="AM76" s="185"/>
      <c r="AN76" s="185"/>
      <c r="AO76" s="185"/>
      <c r="AP76" s="185">
        <v>45968</v>
      </c>
      <c r="AQ76" s="185"/>
      <c r="AR76" s="185"/>
      <c r="AS76" s="185"/>
      <c r="AT76" s="185"/>
      <c r="AU76" s="185"/>
      <c r="AV76" s="185">
        <v>13135</v>
      </c>
      <c r="AW76" s="185">
        <v>3911</v>
      </c>
      <c r="AX76" s="185"/>
      <c r="AY76" s="185"/>
      <c r="AZ76" s="185">
        <v>23579</v>
      </c>
      <c r="BA76" s="185">
        <v>3589</v>
      </c>
      <c r="BB76" s="185"/>
      <c r="BC76" s="185"/>
      <c r="BD76" s="185">
        <v>9077</v>
      </c>
      <c r="BE76" s="185">
        <v>679195</v>
      </c>
      <c r="BF76" s="185">
        <v>9629</v>
      </c>
      <c r="BG76" s="185">
        <v>5077</v>
      </c>
      <c r="BH76" s="185">
        <v>24834</v>
      </c>
      <c r="BI76" s="185">
        <v>26210</v>
      </c>
      <c r="BJ76" s="185">
        <v>4555</v>
      </c>
      <c r="BK76" s="185">
        <v>11014</v>
      </c>
      <c r="BL76" s="185">
        <v>5010</v>
      </c>
      <c r="BM76" s="185">
        <v>4678</v>
      </c>
      <c r="BN76" s="185">
        <v>14258</v>
      </c>
      <c r="BO76" s="185">
        <v>2082</v>
      </c>
      <c r="BP76" s="185">
        <v>1894</v>
      </c>
      <c r="BQ76" s="185">
        <v>1677</v>
      </c>
      <c r="BR76" s="185">
        <v>3400</v>
      </c>
      <c r="BS76" s="185">
        <v>5109</v>
      </c>
      <c r="BT76" s="185">
        <v>947</v>
      </c>
      <c r="BU76" s="185"/>
      <c r="BV76" s="185">
        <v>17194</v>
      </c>
      <c r="BW76" s="185">
        <v>3446</v>
      </c>
      <c r="BX76" s="185">
        <v>3549</v>
      </c>
      <c r="BY76" s="185">
        <v>1319</v>
      </c>
      <c r="BZ76" s="185"/>
      <c r="CA76" s="185">
        <v>5571</v>
      </c>
      <c r="CB76" s="185">
        <v>4031</v>
      </c>
      <c r="CC76" s="185">
        <f>7583+293</f>
        <v>7876</v>
      </c>
      <c r="CD76" s="249" t="s">
        <v>221</v>
      </c>
      <c r="CE76" s="195">
        <f t="shared" si="8"/>
        <v>1605304</v>
      </c>
      <c r="CF76" s="195">
        <f>BE59-CE76</f>
        <v>-926109</v>
      </c>
      <c r="CH76" s="288"/>
      <c r="CI76" s="288"/>
    </row>
    <row r="77" spans="1:87" ht="12.65" customHeight="1" x14ac:dyDescent="0.35">
      <c r="A77" s="171" t="s">
        <v>249</v>
      </c>
      <c r="B77" s="175"/>
      <c r="C77" s="184">
        <v>8550</v>
      </c>
      <c r="D77" s="184">
        <v>25907</v>
      </c>
      <c r="E77" s="184">
        <v>112918</v>
      </c>
      <c r="F77" s="184"/>
      <c r="G77" s="184">
        <v>10223</v>
      </c>
      <c r="H77" s="184"/>
      <c r="I77" s="184"/>
      <c r="J77" s="184"/>
      <c r="K77" s="184"/>
      <c r="L77" s="184"/>
      <c r="M77" s="184">
        <v>5212</v>
      </c>
      <c r="N77" s="184"/>
      <c r="O77" s="184">
        <v>32290</v>
      </c>
      <c r="P77" s="184"/>
      <c r="Q77" s="184"/>
      <c r="R77" s="184">
        <v>49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3113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198262</v>
      </c>
      <c r="CF77" s="195">
        <f>AY59-CE77</f>
        <v>-198262</v>
      </c>
      <c r="CH77" s="288"/>
      <c r="CI77" s="288"/>
    </row>
    <row r="78" spans="1:87" ht="12.65" customHeight="1" x14ac:dyDescent="0.35">
      <c r="A78" s="171" t="s">
        <v>250</v>
      </c>
      <c r="B78" s="175"/>
      <c r="C78" s="184">
        <v>3999</v>
      </c>
      <c r="D78" s="184">
        <v>3047</v>
      </c>
      <c r="E78" s="184">
        <v>14066</v>
      </c>
      <c r="F78" s="184"/>
      <c r="G78" s="184">
        <v>1137</v>
      </c>
      <c r="H78" s="184"/>
      <c r="I78" s="184"/>
      <c r="J78" s="184"/>
      <c r="K78" s="184"/>
      <c r="L78" s="184"/>
      <c r="M78" s="184">
        <v>2566</v>
      </c>
      <c r="N78" s="184">
        <v>632</v>
      </c>
      <c r="O78" s="184">
        <v>6802</v>
      </c>
      <c r="P78" s="184">
        <v>9002</v>
      </c>
      <c r="Q78" s="184">
        <v>640</v>
      </c>
      <c r="R78" s="184">
        <v>81</v>
      </c>
      <c r="S78" s="184">
        <v>1284</v>
      </c>
      <c r="T78" s="184"/>
      <c r="U78" s="184">
        <v>1935</v>
      </c>
      <c r="V78" s="184">
        <v>37</v>
      </c>
      <c r="W78" s="184">
        <v>388</v>
      </c>
      <c r="X78" s="184">
        <v>396</v>
      </c>
      <c r="Y78" s="184">
        <v>6331</v>
      </c>
      <c r="Z78" s="184">
        <v>2062</v>
      </c>
      <c r="AA78" s="184">
        <v>142</v>
      </c>
      <c r="AB78" s="184">
        <v>962</v>
      </c>
      <c r="AC78" s="184">
        <v>330</v>
      </c>
      <c r="AD78" s="184"/>
      <c r="AE78" s="184">
        <v>2192</v>
      </c>
      <c r="AF78" s="184"/>
      <c r="AG78" s="184">
        <v>6885</v>
      </c>
      <c r="AH78" s="184"/>
      <c r="AI78" s="184"/>
      <c r="AJ78" s="184">
        <v>18087</v>
      </c>
      <c r="AK78" s="184"/>
      <c r="AL78" s="184"/>
      <c r="AM78" s="184"/>
      <c r="AN78" s="184"/>
      <c r="AO78" s="184"/>
      <c r="AP78" s="184">
        <v>5748</v>
      </c>
      <c r="AQ78" s="184"/>
      <c r="AR78" s="184"/>
      <c r="AS78" s="184"/>
      <c r="AT78" s="184"/>
      <c r="AU78" s="184"/>
      <c r="AV78" s="184">
        <v>1642</v>
      </c>
      <c r="AW78" s="184">
        <v>489</v>
      </c>
      <c r="AX78" s="249" t="s">
        <v>221</v>
      </c>
      <c r="AY78" s="249" t="s">
        <v>221</v>
      </c>
      <c r="AZ78" s="249" t="s">
        <v>221</v>
      </c>
      <c r="BA78" s="184">
        <v>449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3105</v>
      </c>
      <c r="BI78" s="184">
        <v>3278</v>
      </c>
      <c r="BJ78" s="249" t="s">
        <v>221</v>
      </c>
      <c r="BK78" s="184">
        <v>1377</v>
      </c>
      <c r="BL78" s="184">
        <v>627</v>
      </c>
      <c r="BM78" s="184">
        <v>585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639</v>
      </c>
      <c r="BT78" s="184">
        <v>118</v>
      </c>
      <c r="BU78" s="184"/>
      <c r="BV78" s="184">
        <v>2150</v>
      </c>
      <c r="BW78" s="184">
        <v>431</v>
      </c>
      <c r="BX78" s="184">
        <v>444</v>
      </c>
      <c r="BY78" s="184">
        <v>165</v>
      </c>
      <c r="BZ78" s="184"/>
      <c r="CA78" s="184">
        <v>697</v>
      </c>
      <c r="CB78" s="184">
        <v>506</v>
      </c>
      <c r="CC78" s="249" t="s">
        <v>221</v>
      </c>
      <c r="CD78" s="249" t="s">
        <v>221</v>
      </c>
      <c r="CE78" s="195">
        <f t="shared" si="8"/>
        <v>105453</v>
      </c>
      <c r="CF78" s="195"/>
      <c r="CH78" s="288"/>
      <c r="CI78" s="288"/>
    </row>
    <row r="79" spans="1:87" ht="12.65" customHeight="1" x14ac:dyDescent="0.35">
      <c r="A79" s="171" t="s">
        <v>251</v>
      </c>
      <c r="B79" s="175"/>
      <c r="C79" s="225">
        <v>204432.6</v>
      </c>
      <c r="D79" s="225">
        <v>203209.79</v>
      </c>
      <c r="E79" s="184">
        <v>551205.89</v>
      </c>
      <c r="F79" s="184">
        <v>0</v>
      </c>
      <c r="G79" s="184">
        <v>37965.79</v>
      </c>
      <c r="H79" s="184"/>
      <c r="I79" s="184"/>
      <c r="J79" s="184"/>
      <c r="K79" s="184"/>
      <c r="L79" s="184"/>
      <c r="M79" s="184">
        <v>26675.73</v>
      </c>
      <c r="N79" s="184"/>
      <c r="O79" s="184">
        <v>330071.51</v>
      </c>
      <c r="P79" s="184">
        <v>166060.21</v>
      </c>
      <c r="Q79" s="184">
        <v>0</v>
      </c>
      <c r="R79" s="184">
        <v>0</v>
      </c>
      <c r="S79" s="184">
        <v>21320.87</v>
      </c>
      <c r="T79" s="184">
        <v>0</v>
      </c>
      <c r="U79" s="184">
        <v>2262.39</v>
      </c>
      <c r="V79" s="184">
        <v>0</v>
      </c>
      <c r="W79" s="184">
        <v>20327.439999999999</v>
      </c>
      <c r="X79" s="184">
        <v>0</v>
      </c>
      <c r="Y79" s="184">
        <v>256891.29</v>
      </c>
      <c r="Z79" s="184">
        <v>45209.42</v>
      </c>
      <c r="AA79" s="184">
        <v>0</v>
      </c>
      <c r="AB79" s="184">
        <v>0</v>
      </c>
      <c r="AC79" s="184">
        <v>0</v>
      </c>
      <c r="AD79" s="184">
        <v>0</v>
      </c>
      <c r="AE79" s="184"/>
      <c r="AF79" s="184"/>
      <c r="AG79" s="184">
        <v>366846.1</v>
      </c>
      <c r="AH79" s="184"/>
      <c r="AI79" s="184"/>
      <c r="AJ79" s="184">
        <v>76046.81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38997.800000000003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>
        <v>28201.16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2375724.7999999998</v>
      </c>
      <c r="CF79" s="195" t="str">
        <f>BA59</f>
        <v>x</v>
      </c>
      <c r="CH79" s="288"/>
      <c r="CI79" s="288"/>
    </row>
    <row r="80" spans="1:87" ht="21" customHeight="1" x14ac:dyDescent="0.35">
      <c r="A80" s="171" t="s">
        <v>252</v>
      </c>
      <c r="B80" s="175"/>
      <c r="C80" s="187">
        <v>98.293347701149429</v>
      </c>
      <c r="D80" s="187">
        <v>41.484976053639848</v>
      </c>
      <c r="E80" s="187">
        <v>164.65599616858236</v>
      </c>
      <c r="F80" s="187">
        <v>0.15380747126436781</v>
      </c>
      <c r="G80" s="187">
        <v>10.999794061302682</v>
      </c>
      <c r="H80" s="187"/>
      <c r="I80" s="187"/>
      <c r="J80" s="187"/>
      <c r="K80" s="187"/>
      <c r="L80" s="187"/>
      <c r="M80" s="187">
        <f>14.86+3.05</f>
        <v>17.91</v>
      </c>
      <c r="N80" s="187"/>
      <c r="O80" s="187">
        <v>126.34620210727969</v>
      </c>
      <c r="P80" s="187">
        <v>46.564980842911872</v>
      </c>
      <c r="Q80" s="187">
        <v>38.988836206896551</v>
      </c>
      <c r="R80" s="187">
        <v>0</v>
      </c>
      <c r="S80" s="187">
        <v>0</v>
      </c>
      <c r="T80" s="187">
        <v>0</v>
      </c>
      <c r="U80" s="187">
        <v>0.71678639846743297</v>
      </c>
      <c r="V80" s="187">
        <v>0</v>
      </c>
      <c r="W80" s="187">
        <v>0</v>
      </c>
      <c r="X80" s="187">
        <v>0</v>
      </c>
      <c r="Y80" s="187">
        <v>21.796455938697317</v>
      </c>
      <c r="Z80" s="187">
        <v>4.2119492337164743</v>
      </c>
      <c r="AA80" s="187">
        <v>0</v>
      </c>
      <c r="AB80" s="187">
        <v>0</v>
      </c>
      <c r="AC80" s="187">
        <v>4.1786398467432949E-2</v>
      </c>
      <c r="AD80" s="187">
        <v>0</v>
      </c>
      <c r="AE80" s="187"/>
      <c r="AF80" s="187"/>
      <c r="AG80" s="187">
        <v>63.073271072796928</v>
      </c>
      <c r="AH80" s="187"/>
      <c r="AI80" s="187"/>
      <c r="AJ80" s="187">
        <v>48.517844827586202</v>
      </c>
      <c r="AK80" s="187"/>
      <c r="AL80" s="187"/>
      <c r="AM80" s="187"/>
      <c r="AN80" s="187"/>
      <c r="AO80" s="187"/>
      <c r="AP80" s="187">
        <v>14.152452107279693</v>
      </c>
      <c r="AQ80" s="187"/>
      <c r="AR80" s="187">
        <f>138.07+27.42</f>
        <v>165.49</v>
      </c>
      <c r="AS80" s="187"/>
      <c r="AT80" s="187"/>
      <c r="AU80" s="187"/>
      <c r="AV80" s="187">
        <f>7.096+2.35+0.03+0.01+12.44+0.02+0.15+2.65+1.49+14.77+0.01+15.28+0.53+15.99+2.84</f>
        <v>75.655999999999992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939.05448659003832</v>
      </c>
      <c r="CF80" s="255"/>
      <c r="CH80" s="288"/>
      <c r="CI80" s="28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1276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1267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 t="s">
        <v>1274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13819</v>
      </c>
      <c r="D111" s="174">
        <v>61292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4451</v>
      </c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31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153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41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296</v>
      </c>
    </row>
    <row r="128" spans="1:5" ht="12.65" customHeight="1" x14ac:dyDescent="0.35">
      <c r="A128" s="173" t="s">
        <v>292</v>
      </c>
      <c r="B128" s="172" t="s">
        <v>256</v>
      </c>
      <c r="C128" s="189">
        <v>318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5284</v>
      </c>
      <c r="C138" s="189">
        <v>2335</v>
      </c>
      <c r="D138" s="174">
        <f>13819-B138-C138</f>
        <v>6200</v>
      </c>
      <c r="E138" s="175">
        <f>SUM(B138:D138)</f>
        <v>13819</v>
      </c>
    </row>
    <row r="139" spans="1:6" ht="12.65" customHeight="1" x14ac:dyDescent="0.35">
      <c r="A139" s="173" t="s">
        <v>215</v>
      </c>
      <c r="B139" s="174">
        <v>36261</v>
      </c>
      <c r="C139" s="189">
        <v>10340</v>
      </c>
      <c r="D139" s="174">
        <f>61292-B139-C139</f>
        <v>14691</v>
      </c>
      <c r="E139" s="175">
        <f>SUM(B139:D139)</f>
        <v>61292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384217848</v>
      </c>
      <c r="C141" s="189">
        <v>101925545</v>
      </c>
      <c r="D141" s="174">
        <v>320203861</v>
      </c>
      <c r="E141" s="175">
        <f>SUM(B141:D141)</f>
        <v>806347254</v>
      </c>
      <c r="F141" s="199"/>
    </row>
    <row r="142" spans="1:6" ht="12.65" customHeight="1" x14ac:dyDescent="0.35">
      <c r="A142" s="173" t="s">
        <v>246</v>
      </c>
      <c r="B142" s="174">
        <v>427887519</v>
      </c>
      <c r="C142" s="189">
        <v>93151294</v>
      </c>
      <c r="D142" s="174">
        <v>577139349</v>
      </c>
      <c r="E142" s="175">
        <f>SUM(B142:D142)</f>
        <v>1098178162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6897598</v>
      </c>
      <c r="C157" s="174">
        <v>15025519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25386270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1298310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2638618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40248712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203216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19533469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3190480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92499075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12517188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2946918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15464106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1393996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1383198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2777194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403403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168126+74989+5948058+496340</f>
        <v>6687513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7090916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9105986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9105986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4913659.68</v>
      </c>
      <c r="C195" s="189"/>
      <c r="D195" s="174"/>
      <c r="E195" s="175">
        <f t="shared" ref="E195:E203" si="11">SUM(B195:C195)-D195</f>
        <v>4913659.68</v>
      </c>
    </row>
    <row r="196" spans="1:8" ht="12.65" customHeight="1" x14ac:dyDescent="0.35">
      <c r="A196" s="173" t="s">
        <v>333</v>
      </c>
      <c r="B196" s="174">
        <v>13718295.779999999</v>
      </c>
      <c r="C196" s="189"/>
      <c r="D196" s="174">
        <v>594384.47</v>
      </c>
      <c r="E196" s="175">
        <f t="shared" si="11"/>
        <v>13123911.309999999</v>
      </c>
    </row>
    <row r="197" spans="1:8" ht="12.65" customHeight="1" x14ac:dyDescent="0.35">
      <c r="A197" s="173" t="s">
        <v>334</v>
      </c>
      <c r="B197" s="174">
        <v>336138181.80000001</v>
      </c>
      <c r="C197" s="189">
        <v>4238175.8499999996</v>
      </c>
      <c r="D197" s="174"/>
      <c r="E197" s="175">
        <f t="shared" si="11"/>
        <v>340376357.65000004</v>
      </c>
    </row>
    <row r="198" spans="1:8" ht="12.65" customHeight="1" x14ac:dyDescent="0.35">
      <c r="A198" s="173" t="s">
        <v>335</v>
      </c>
      <c r="B198" s="174">
        <v>127496857.58</v>
      </c>
      <c r="C198" s="189">
        <v>2784576.09</v>
      </c>
      <c r="D198" s="174">
        <v>1873.98</v>
      </c>
      <c r="E198" s="175">
        <f t="shared" si="11"/>
        <v>130279559.69</v>
      </c>
    </row>
    <row r="199" spans="1:8" ht="12.65" customHeight="1" x14ac:dyDescent="0.35">
      <c r="A199" s="173" t="s">
        <v>336</v>
      </c>
      <c r="B199" s="174">
        <v>50609.42</v>
      </c>
      <c r="C199" s="189"/>
      <c r="D199" s="174">
        <v>27486.38</v>
      </c>
      <c r="E199" s="175">
        <f t="shared" si="11"/>
        <v>23123.039999999997</v>
      </c>
    </row>
    <row r="200" spans="1:8" ht="12.65" customHeight="1" x14ac:dyDescent="0.35">
      <c r="A200" s="173" t="s">
        <v>337</v>
      </c>
      <c r="B200" s="174">
        <v>297478483.68000001</v>
      </c>
      <c r="C200" s="189">
        <v>18248091.109999999</v>
      </c>
      <c r="D200" s="174">
        <v>14623251.42</v>
      </c>
      <c r="E200" s="175">
        <f t="shared" si="11"/>
        <v>301103323.37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1"/>
        <v>0</v>
      </c>
    </row>
    <row r="202" spans="1:8" ht="12.65" customHeight="1" x14ac:dyDescent="0.35">
      <c r="A202" s="173" t="s">
        <v>339</v>
      </c>
      <c r="B202" s="174">
        <v>38462716.149999999</v>
      </c>
      <c r="C202" s="189">
        <v>1477905.64</v>
      </c>
      <c r="D202" s="174"/>
      <c r="E202" s="175">
        <f t="shared" si="11"/>
        <v>39940621.789999999</v>
      </c>
    </row>
    <row r="203" spans="1:8" ht="12.65" customHeight="1" x14ac:dyDescent="0.35">
      <c r="A203" s="173" t="s">
        <v>340</v>
      </c>
      <c r="B203" s="174">
        <v>25691086.539999999</v>
      </c>
      <c r="C203" s="189">
        <v>24995416.859999999</v>
      </c>
      <c r="D203" s="174">
        <v>26112650.690000001</v>
      </c>
      <c r="E203" s="175">
        <f t="shared" si="11"/>
        <v>24573852.709999997</v>
      </c>
    </row>
    <row r="204" spans="1:8" ht="12.65" customHeight="1" x14ac:dyDescent="0.35">
      <c r="A204" s="173" t="s">
        <v>203</v>
      </c>
      <c r="B204" s="175">
        <f>SUM(B195:B203)</f>
        <v>843949890.63</v>
      </c>
      <c r="C204" s="191">
        <f>SUM(C195:C203)</f>
        <v>51744165.549999997</v>
      </c>
      <c r="D204" s="175">
        <f>SUM(D195:D203)</f>
        <v>41359646.939999998</v>
      </c>
      <c r="E204" s="175">
        <f>SUM(E195:E203)</f>
        <v>854334409.24000001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11543030.199999999</v>
      </c>
      <c r="C209" s="189">
        <v>359408.82</v>
      </c>
      <c r="D209" s="174">
        <v>594384.47</v>
      </c>
      <c r="E209" s="175">
        <f t="shared" ref="E209:E216" si="12">SUM(B209:C209)-D209</f>
        <v>11308054.549999999</v>
      </c>
      <c r="H209" s="259"/>
    </row>
    <row r="210" spans="1:8" ht="12.65" customHeight="1" x14ac:dyDescent="0.35">
      <c r="A210" s="173" t="s">
        <v>334</v>
      </c>
      <c r="B210" s="174">
        <v>171122095.91999999</v>
      </c>
      <c r="C210" s="189">
        <v>11338082.73</v>
      </c>
      <c r="D210" s="174"/>
      <c r="E210" s="175">
        <f t="shared" si="12"/>
        <v>182460178.64999998</v>
      </c>
      <c r="H210" s="259"/>
    </row>
    <row r="211" spans="1:8" ht="12.65" customHeight="1" x14ac:dyDescent="0.35">
      <c r="A211" s="173" t="s">
        <v>335</v>
      </c>
      <c r="B211" s="174">
        <v>91988696.510000005</v>
      </c>
      <c r="C211" s="189">
        <v>4267675.76</v>
      </c>
      <c r="D211" s="174">
        <v>1873.98</v>
      </c>
      <c r="E211" s="175">
        <f t="shared" si="12"/>
        <v>96254498.290000007</v>
      </c>
      <c r="H211" s="259"/>
    </row>
    <row r="212" spans="1:8" ht="12.65" customHeight="1" x14ac:dyDescent="0.35">
      <c r="A212" s="173" t="s">
        <v>336</v>
      </c>
      <c r="B212" s="174">
        <v>47806.75</v>
      </c>
      <c r="C212" s="189">
        <v>947.43</v>
      </c>
      <c r="D212" s="174">
        <v>27486.38</v>
      </c>
      <c r="E212" s="175">
        <f t="shared" si="12"/>
        <v>21267.8</v>
      </c>
      <c r="H212" s="259"/>
    </row>
    <row r="213" spans="1:8" ht="12.65" customHeight="1" x14ac:dyDescent="0.35">
      <c r="A213" s="173" t="s">
        <v>337</v>
      </c>
      <c r="B213" s="174">
        <v>226932186.77000001</v>
      </c>
      <c r="C213" s="189">
        <v>17854952.609999999</v>
      </c>
      <c r="D213" s="174">
        <v>14623251.42</v>
      </c>
      <c r="E213" s="175">
        <f t="shared" si="12"/>
        <v>230163887.96000001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2"/>
        <v>0</v>
      </c>
      <c r="H214" s="259"/>
    </row>
    <row r="215" spans="1:8" ht="12.65" customHeight="1" x14ac:dyDescent="0.35">
      <c r="A215" s="173" t="s">
        <v>339</v>
      </c>
      <c r="B215" s="174">
        <v>21487264.5</v>
      </c>
      <c r="C215" s="189">
        <v>2482052.7599999998</v>
      </c>
      <c r="D215" s="174"/>
      <c r="E215" s="175">
        <f t="shared" si="12"/>
        <v>23969317.259999998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523121080.64999998</v>
      </c>
      <c r="C217" s="191">
        <f>SUM(C208:C216)</f>
        <v>36303120.109999999</v>
      </c>
      <c r="D217" s="175">
        <f>SUM(D208:D216)</f>
        <v>15246996.25</v>
      </c>
      <c r="E217" s="175">
        <f>SUM(E208:E216)</f>
        <v>544177204.50999999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1" t="s">
        <v>1255</v>
      </c>
      <c r="C220" s="291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14990941</v>
      </c>
      <c r="D221" s="172">
        <f>C221</f>
        <v>14990941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591409889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134379928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8744407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6818196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470314582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1212049579-1211667002</f>
        <v>382577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1212049579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286">
        <v>3962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3489992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4753080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8243072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5233395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5233395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1240516987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83951383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272895317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186599621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2942452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13937032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1542955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8920617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10256205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207846340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307368753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307368753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4913660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13123911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340376358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130279559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23123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301103323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39940622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24573853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854334409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544177205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310157204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7771982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3770671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11542653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f>25055730+2</f>
        <v>25055732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25055732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861970682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31037724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46799779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802142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6069564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1222842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14470232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100402283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14310623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384874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14695497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7788078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254791377+14470232</f>
        <v>269261609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43605100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320654787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14470232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306184555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440688347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861970682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861970682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806347253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1098178162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1904525415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14990941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1212049579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8243073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5233395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1240516988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664008427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47001114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27871776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74872890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738881317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396802109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92499075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18767520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104115544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6254681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46008286+18715968</f>
        <v>64724254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35828141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15464106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2777194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7090917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9105986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9528965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762958492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-24077175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47068467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22991292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22991292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EvergreenHealth Kirkland / King Country Public Hos #2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13819</v>
      </c>
      <c r="C414" s="194">
        <f>E138</f>
        <v>13819</v>
      </c>
      <c r="D414" s="179"/>
    </row>
    <row r="415" spans="1:5" ht="12.65" customHeight="1" x14ac:dyDescent="0.35">
      <c r="A415" s="179" t="s">
        <v>464</v>
      </c>
      <c r="B415" s="179">
        <f>D111</f>
        <v>61292</v>
      </c>
      <c r="C415" s="179">
        <f>E139</f>
        <v>61292</v>
      </c>
      <c r="D415" s="194">
        <f>SUM(C59:H59)+N59</f>
        <v>55016.85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4451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396802109</v>
      </c>
      <c r="C427" s="179">
        <f t="shared" ref="C427:C434" si="14">CE61</f>
        <v>396802109.25999999</v>
      </c>
      <c r="D427" s="179"/>
    </row>
    <row r="428" spans="1:7" ht="12.65" customHeight="1" x14ac:dyDescent="0.35">
      <c r="A428" s="179" t="s">
        <v>3</v>
      </c>
      <c r="B428" s="179">
        <f t="shared" si="13"/>
        <v>92499075</v>
      </c>
      <c r="C428" s="179">
        <f t="shared" si="14"/>
        <v>92499077</v>
      </c>
      <c r="D428" s="179">
        <f>D173</f>
        <v>92499075</v>
      </c>
    </row>
    <row r="429" spans="1:7" ht="12.65" customHeight="1" x14ac:dyDescent="0.35">
      <c r="A429" s="179" t="s">
        <v>236</v>
      </c>
      <c r="B429" s="179">
        <f t="shared" si="13"/>
        <v>18767520</v>
      </c>
      <c r="C429" s="179">
        <f t="shared" si="14"/>
        <v>18767519.540000003</v>
      </c>
      <c r="D429" s="179"/>
    </row>
    <row r="430" spans="1:7" ht="12.65" customHeight="1" x14ac:dyDescent="0.35">
      <c r="A430" s="179" t="s">
        <v>237</v>
      </c>
      <c r="B430" s="179">
        <f t="shared" si="13"/>
        <v>104115544</v>
      </c>
      <c r="C430" s="179">
        <f t="shared" si="14"/>
        <v>104115543.92000002</v>
      </c>
      <c r="D430" s="179"/>
    </row>
    <row r="431" spans="1:7" ht="12.65" customHeight="1" x14ac:dyDescent="0.35">
      <c r="A431" s="179" t="s">
        <v>444</v>
      </c>
      <c r="B431" s="179">
        <f t="shared" si="13"/>
        <v>6254681</v>
      </c>
      <c r="C431" s="179">
        <f t="shared" si="14"/>
        <v>6254681.330000001</v>
      </c>
      <c r="D431" s="179"/>
    </row>
    <row r="432" spans="1:7" ht="12.65" customHeight="1" x14ac:dyDescent="0.35">
      <c r="A432" s="179" t="s">
        <v>445</v>
      </c>
      <c r="B432" s="179">
        <f t="shared" si="13"/>
        <v>64724254</v>
      </c>
      <c r="C432" s="179">
        <f t="shared" si="14"/>
        <v>64724254.180000022</v>
      </c>
      <c r="D432" s="179"/>
    </row>
    <row r="433" spans="1:7" ht="12.65" customHeight="1" x14ac:dyDescent="0.35">
      <c r="A433" s="179" t="s">
        <v>6</v>
      </c>
      <c r="B433" s="179">
        <f t="shared" si="13"/>
        <v>35828141</v>
      </c>
      <c r="C433" s="179">
        <f t="shared" si="14"/>
        <v>35828142</v>
      </c>
      <c r="D433" s="179">
        <f>C217</f>
        <v>36303120.109999999</v>
      </c>
    </row>
    <row r="434" spans="1:7" ht="12.65" customHeight="1" x14ac:dyDescent="0.35">
      <c r="A434" s="179" t="s">
        <v>474</v>
      </c>
      <c r="B434" s="179">
        <f t="shared" si="13"/>
        <v>15464106</v>
      </c>
      <c r="C434" s="179">
        <f t="shared" si="14"/>
        <v>15464105.580000004</v>
      </c>
      <c r="D434" s="179">
        <f>D177</f>
        <v>15464106</v>
      </c>
    </row>
    <row r="435" spans="1:7" ht="12.65" customHeight="1" x14ac:dyDescent="0.35">
      <c r="A435" s="179" t="s">
        <v>447</v>
      </c>
      <c r="B435" s="179">
        <f t="shared" si="13"/>
        <v>2777194</v>
      </c>
      <c r="C435" s="179"/>
      <c r="D435" s="179">
        <f>D181</f>
        <v>2777194</v>
      </c>
    </row>
    <row r="436" spans="1:7" ht="12.65" customHeight="1" x14ac:dyDescent="0.35">
      <c r="A436" s="179" t="s">
        <v>475</v>
      </c>
      <c r="B436" s="179">
        <f t="shared" si="13"/>
        <v>7090917</v>
      </c>
      <c r="C436" s="179"/>
      <c r="D436" s="179">
        <f>D186</f>
        <v>7090916</v>
      </c>
    </row>
    <row r="437" spans="1:7" ht="12.65" customHeight="1" x14ac:dyDescent="0.35">
      <c r="A437" s="194" t="s">
        <v>449</v>
      </c>
      <c r="B437" s="194">
        <f t="shared" si="13"/>
        <v>9105986</v>
      </c>
      <c r="C437" s="194"/>
      <c r="D437" s="194">
        <f>D190</f>
        <v>9105986</v>
      </c>
    </row>
    <row r="438" spans="1:7" ht="12.65" customHeight="1" x14ac:dyDescent="0.35">
      <c r="A438" s="194" t="s">
        <v>476</v>
      </c>
      <c r="B438" s="194">
        <f>C386+C387+C388</f>
        <v>18974097</v>
      </c>
      <c r="C438" s="194">
        <f>CD69</f>
        <v>9163002.3599999994</v>
      </c>
      <c r="D438" s="194">
        <f>D181+D186+D190</f>
        <v>18974096</v>
      </c>
    </row>
    <row r="439" spans="1:7" ht="12.65" customHeight="1" x14ac:dyDescent="0.35">
      <c r="A439" s="179" t="s">
        <v>451</v>
      </c>
      <c r="B439" s="194">
        <f>C389</f>
        <v>9528965</v>
      </c>
      <c r="C439" s="194">
        <f>SUM(C69:CC69)</f>
        <v>10234073.389999999</v>
      </c>
      <c r="D439" s="179"/>
    </row>
    <row r="440" spans="1:7" ht="12.65" customHeight="1" x14ac:dyDescent="0.35">
      <c r="A440" s="179" t="s">
        <v>477</v>
      </c>
      <c r="B440" s="194">
        <f>B438+B439</f>
        <v>28503062</v>
      </c>
      <c r="C440" s="194">
        <f>CE69</f>
        <v>19397075.75</v>
      </c>
      <c r="D440" s="179"/>
    </row>
    <row r="441" spans="1:7" ht="12.65" customHeight="1" x14ac:dyDescent="0.35">
      <c r="A441" s="179" t="s">
        <v>478</v>
      </c>
      <c r="B441" s="179">
        <f>D390</f>
        <v>762958492</v>
      </c>
      <c r="C441" s="179">
        <f>SUM(C427:C437)+C440</f>
        <v>753852508.56000018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14990941</v>
      </c>
      <c r="C444" s="179">
        <f>C363</f>
        <v>14990941</v>
      </c>
      <c r="D444" s="179"/>
    </row>
    <row r="445" spans="1:7" ht="12.65" customHeight="1" x14ac:dyDescent="0.35">
      <c r="A445" s="179" t="s">
        <v>343</v>
      </c>
      <c r="B445" s="179">
        <f>D229</f>
        <v>1212049579</v>
      </c>
      <c r="C445" s="179">
        <f>C364</f>
        <v>1212049579</v>
      </c>
      <c r="D445" s="179"/>
    </row>
    <row r="446" spans="1:7" ht="12.65" customHeight="1" x14ac:dyDescent="0.35">
      <c r="A446" s="179" t="s">
        <v>351</v>
      </c>
      <c r="B446" s="179">
        <f>D236</f>
        <v>8243072</v>
      </c>
      <c r="C446" s="179">
        <f>C365</f>
        <v>8243073</v>
      </c>
      <c r="D446" s="179"/>
    </row>
    <row r="447" spans="1:7" ht="12.65" customHeight="1" x14ac:dyDescent="0.35">
      <c r="A447" s="179" t="s">
        <v>356</v>
      </c>
      <c r="B447" s="179">
        <f>D240</f>
        <v>5233395</v>
      </c>
      <c r="C447" s="179">
        <f>C366</f>
        <v>5233395</v>
      </c>
      <c r="D447" s="179"/>
    </row>
    <row r="448" spans="1:7" ht="12.65" customHeight="1" x14ac:dyDescent="0.35">
      <c r="A448" s="179" t="s">
        <v>358</v>
      </c>
      <c r="B448" s="179">
        <f>D242</f>
        <v>1240516987</v>
      </c>
      <c r="C448" s="179">
        <f>D367</f>
        <v>1240516988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3962</v>
      </c>
    </row>
    <row r="454" spans="1:7" ht="12.65" customHeight="1" x14ac:dyDescent="0.35">
      <c r="A454" s="179" t="s">
        <v>168</v>
      </c>
      <c r="B454" s="179">
        <f>C233</f>
        <v>3489992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4753080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47001114</v>
      </c>
      <c r="C458" s="194">
        <f>CE70</f>
        <v>47000825.919999994</v>
      </c>
      <c r="D458" s="194"/>
    </row>
    <row r="459" spans="1:7" ht="12.65" customHeight="1" x14ac:dyDescent="0.35">
      <c r="A459" s="179" t="s">
        <v>244</v>
      </c>
      <c r="B459" s="194">
        <f>C371</f>
        <v>27871776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806347253</v>
      </c>
      <c r="C463" s="194">
        <f>CE73</f>
        <v>806347253.38999987</v>
      </c>
      <c r="D463" s="194">
        <f>E141+E147+E153</f>
        <v>806347254</v>
      </c>
    </row>
    <row r="464" spans="1:7" ht="12.65" customHeight="1" x14ac:dyDescent="0.35">
      <c r="A464" s="179" t="s">
        <v>246</v>
      </c>
      <c r="B464" s="194">
        <f>C360</f>
        <v>1098178162</v>
      </c>
      <c r="C464" s="194">
        <f>CE74</f>
        <v>1098178162.3000002</v>
      </c>
      <c r="D464" s="194">
        <f>E142+E148+E154</f>
        <v>1098178162</v>
      </c>
    </row>
    <row r="465" spans="1:7" ht="12.65" customHeight="1" x14ac:dyDescent="0.35">
      <c r="A465" s="179" t="s">
        <v>247</v>
      </c>
      <c r="B465" s="194">
        <f>D361</f>
        <v>1904525415</v>
      </c>
      <c r="C465" s="194">
        <f>CE75</f>
        <v>1904525415.6900003</v>
      </c>
      <c r="D465" s="194">
        <f>D463+D464</f>
        <v>1904525416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4913660</v>
      </c>
      <c r="C468" s="179">
        <f>E195</f>
        <v>4913659.68</v>
      </c>
      <c r="D468" s="179"/>
    </row>
    <row r="469" spans="1:7" ht="12.65" customHeight="1" x14ac:dyDescent="0.35">
      <c r="A469" s="179" t="s">
        <v>333</v>
      </c>
      <c r="B469" s="179">
        <f t="shared" si="15"/>
        <v>13123911</v>
      </c>
      <c r="C469" s="179">
        <f>E196</f>
        <v>13123911.309999999</v>
      </c>
      <c r="D469" s="179"/>
    </row>
    <row r="470" spans="1:7" ht="12.65" customHeight="1" x14ac:dyDescent="0.35">
      <c r="A470" s="179" t="s">
        <v>334</v>
      </c>
      <c r="B470" s="179">
        <f t="shared" si="15"/>
        <v>340376358</v>
      </c>
      <c r="C470" s="179">
        <f>E197</f>
        <v>340376357.65000004</v>
      </c>
      <c r="D470" s="179"/>
    </row>
    <row r="471" spans="1:7" ht="12.65" customHeight="1" x14ac:dyDescent="0.35">
      <c r="A471" s="179" t="s">
        <v>494</v>
      </c>
      <c r="B471" s="179">
        <f t="shared" si="15"/>
        <v>130279559</v>
      </c>
      <c r="C471" s="179">
        <f>E198</f>
        <v>130279559.69</v>
      </c>
      <c r="D471" s="179"/>
    </row>
    <row r="472" spans="1:7" ht="12.65" customHeight="1" x14ac:dyDescent="0.35">
      <c r="A472" s="179" t="s">
        <v>377</v>
      </c>
      <c r="B472" s="179">
        <f t="shared" si="15"/>
        <v>23123</v>
      </c>
      <c r="C472" s="179">
        <f>E199</f>
        <v>23123.039999999997</v>
      </c>
      <c r="D472" s="179"/>
    </row>
    <row r="473" spans="1:7" ht="12.65" customHeight="1" x14ac:dyDescent="0.35">
      <c r="A473" s="179" t="s">
        <v>495</v>
      </c>
      <c r="B473" s="179">
        <f t="shared" si="15"/>
        <v>301103323</v>
      </c>
      <c r="C473" s="179">
        <f>SUM(E200:E201)</f>
        <v>301103323.37</v>
      </c>
      <c r="D473" s="179"/>
    </row>
    <row r="474" spans="1:7" ht="12.65" customHeight="1" x14ac:dyDescent="0.35">
      <c r="A474" s="179" t="s">
        <v>339</v>
      </c>
      <c r="B474" s="179">
        <f t="shared" si="15"/>
        <v>39940622</v>
      </c>
      <c r="C474" s="179">
        <f>E202</f>
        <v>39940621.789999999</v>
      </c>
      <c r="D474" s="179"/>
    </row>
    <row r="475" spans="1:7" ht="12.65" customHeight="1" x14ac:dyDescent="0.35">
      <c r="A475" s="179" t="s">
        <v>340</v>
      </c>
      <c r="B475" s="179">
        <f t="shared" si="15"/>
        <v>24573853</v>
      </c>
      <c r="C475" s="179">
        <f>E203</f>
        <v>24573852.709999997</v>
      </c>
      <c r="D475" s="179"/>
    </row>
    <row r="476" spans="1:7" ht="12.65" customHeight="1" x14ac:dyDescent="0.35">
      <c r="A476" s="179" t="s">
        <v>203</v>
      </c>
      <c r="B476" s="179">
        <f>D275</f>
        <v>854334409</v>
      </c>
      <c r="C476" s="179">
        <f>E204</f>
        <v>854334409.24000001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544177205</v>
      </c>
      <c r="C478" s="179">
        <f>E217</f>
        <v>544177204.50999999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861970682</v>
      </c>
    </row>
    <row r="482" spans="1:12" ht="12.65" customHeight="1" x14ac:dyDescent="0.35">
      <c r="A482" s="180" t="s">
        <v>499</v>
      </c>
      <c r="C482" s="180">
        <f>D339</f>
        <v>861970682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164</v>
      </c>
      <c r="B493" s="261" t="e">
        <f>RIGHT(#REF!,4)</f>
        <v>#REF!</v>
      </c>
      <c r="C493" s="261" t="str">
        <f>RIGHT(C82,4)</f>
        <v>2020</v>
      </c>
      <c r="D493" s="261" t="e">
        <f>RIGHT(#REF!,4)</f>
        <v>#REF!</v>
      </c>
      <c r="E493" s="261" t="str">
        <f>RIGHT(C82,4)</f>
        <v>2020</v>
      </c>
      <c r="F493" s="261" t="e">
        <f>RIGHT(#REF!,4)</f>
        <v>#REF!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 t="e">
        <f>#REF!</f>
        <v>#REF!</v>
      </c>
      <c r="C496" s="240">
        <f>C71</f>
        <v>21552545.400000002</v>
      </c>
      <c r="D496" s="240" t="e">
        <f>#REF!</f>
        <v>#REF!</v>
      </c>
      <c r="E496" s="180">
        <f>C59</f>
        <v>4943.9799999999996</v>
      </c>
      <c r="F496" s="263" t="e">
        <f t="shared" ref="F496:G511" si="16">IF(B496=0,"",IF(D496=0,"",B496/D496))</f>
        <v>#REF!</v>
      </c>
      <c r="G496" s="264">
        <f t="shared" si="16"/>
        <v>4359.3512514209206</v>
      </c>
      <c r="H496" s="265" t="e">
        <f>IF(B496=0,"",IF(C496=0,"",IF(D496=0,"",IF(E496=0,"",IF(G496/F496-1&lt;-0.25,G496/F496-1,IF(G496/F496-1&gt;0.25,G496/F496-1,""))))))</f>
        <v>#REF!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 t="e">
        <f>#REF!</f>
        <v>#REF!</v>
      </c>
      <c r="C497" s="240">
        <f>D71</f>
        <v>10539740.489999998</v>
      </c>
      <c r="D497" s="240" t="e">
        <f>#REF!</f>
        <v>#REF!</v>
      </c>
      <c r="E497" s="180">
        <f>D59</f>
        <v>8914.4</v>
      </c>
      <c r="F497" s="263" t="e">
        <f t="shared" si="16"/>
        <v>#REF!</v>
      </c>
      <c r="G497" s="263">
        <f t="shared" si="16"/>
        <v>1182.3275251278828</v>
      </c>
      <c r="H497" s="265" t="e">
        <f t="shared" ref="H497:H550" si="17">IF(B497=0,"",IF(C497=0,"",IF(D497=0,"",IF(E497=0,"",IF(G497/F497-1&lt;-0.25,G497/F497-1,IF(G497/F497-1&gt;0.25,G497/F497-1,""))))))</f>
        <v>#REF!</v>
      </c>
      <c r="I497" s="267"/>
      <c r="K497" s="261"/>
      <c r="L497" s="261"/>
    </row>
    <row r="498" spans="1:12" ht="12.65" customHeight="1" x14ac:dyDescent="0.35">
      <c r="A498" s="180" t="s">
        <v>514</v>
      </c>
      <c r="B498" s="240" t="e">
        <f>#REF!</f>
        <v>#REF!</v>
      </c>
      <c r="C498" s="240">
        <f>E71</f>
        <v>33958631.68</v>
      </c>
      <c r="D498" s="240" t="e">
        <f>#REF!</f>
        <v>#REF!</v>
      </c>
      <c r="E498" s="180">
        <f>E59</f>
        <v>37724.47</v>
      </c>
      <c r="F498" s="263" t="e">
        <f t="shared" si="16"/>
        <v>#REF!</v>
      </c>
      <c r="G498" s="263">
        <f t="shared" si="16"/>
        <v>900.17518284551113</v>
      </c>
      <c r="H498" s="265" t="e">
        <f t="shared" si="17"/>
        <v>#REF!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 t="e">
        <f>#REF!</f>
        <v>#REF!</v>
      </c>
      <c r="C499" s="240">
        <f>F71</f>
        <v>879057.72000000009</v>
      </c>
      <c r="D499" s="240" t="e">
        <f>#REF!</f>
        <v>#REF!</v>
      </c>
      <c r="E499" s="180">
        <f>F59</f>
        <v>0</v>
      </c>
      <c r="F499" s="263" t="e">
        <f t="shared" si="16"/>
        <v>#REF!</v>
      </c>
      <c r="G499" s="263" t="str">
        <f t="shared" si="16"/>
        <v/>
      </c>
      <c r="H499" s="265" t="e">
        <f t="shared" si="17"/>
        <v>#REF!</v>
      </c>
      <c r="I499" s="267"/>
      <c r="K499" s="261"/>
      <c r="L499" s="261"/>
    </row>
    <row r="500" spans="1:12" ht="12.65" customHeight="1" x14ac:dyDescent="0.35">
      <c r="A500" s="180" t="s">
        <v>516</v>
      </c>
      <c r="B500" s="240" t="e">
        <f>#REF!</f>
        <v>#REF!</v>
      </c>
      <c r="C500" s="240">
        <f>G71</f>
        <v>2482060.7999999998</v>
      </c>
      <c r="D500" s="240" t="e">
        <f>#REF!</f>
        <v>#REF!</v>
      </c>
      <c r="E500" s="180">
        <f>G59</f>
        <v>3434</v>
      </c>
      <c r="F500" s="263" t="e">
        <f t="shared" si="16"/>
        <v>#REF!</v>
      </c>
      <c r="G500" s="263">
        <f t="shared" si="16"/>
        <v>722.78998252766451</v>
      </c>
      <c r="H500" s="265" t="e">
        <f t="shared" si="17"/>
        <v>#REF!</v>
      </c>
      <c r="I500" s="267"/>
      <c r="K500" s="261"/>
      <c r="L500" s="261"/>
    </row>
    <row r="501" spans="1:12" ht="12.65" customHeight="1" x14ac:dyDescent="0.35">
      <c r="A501" s="180" t="s">
        <v>517</v>
      </c>
      <c r="B501" s="240" t="e">
        <f>#REF!</f>
        <v>#REF!</v>
      </c>
      <c r="C501" s="240">
        <f>H71</f>
        <v>0</v>
      </c>
      <c r="D501" s="240" t="e">
        <f>#REF!</f>
        <v>#REF!</v>
      </c>
      <c r="E501" s="180">
        <f>H59</f>
        <v>0</v>
      </c>
      <c r="F501" s="263" t="e">
        <f t="shared" si="16"/>
        <v>#REF!</v>
      </c>
      <c r="G501" s="263" t="str">
        <f t="shared" si="16"/>
        <v/>
      </c>
      <c r="H501" s="265" t="e">
        <f t="shared" si="17"/>
        <v>#REF!</v>
      </c>
      <c r="I501" s="267"/>
      <c r="K501" s="261"/>
      <c r="L501" s="261"/>
    </row>
    <row r="502" spans="1:12" ht="12.65" customHeight="1" x14ac:dyDescent="0.35">
      <c r="A502" s="180" t="s">
        <v>518</v>
      </c>
      <c r="B502" s="240" t="e">
        <f>#REF!</f>
        <v>#REF!</v>
      </c>
      <c r="C502" s="240">
        <f>I71</f>
        <v>0</v>
      </c>
      <c r="D502" s="240" t="e">
        <f>#REF!</f>
        <v>#REF!</v>
      </c>
      <c r="E502" s="180">
        <f>I59</f>
        <v>0</v>
      </c>
      <c r="F502" s="263" t="e">
        <f t="shared" si="16"/>
        <v>#REF!</v>
      </c>
      <c r="G502" s="263" t="str">
        <f t="shared" si="16"/>
        <v/>
      </c>
      <c r="H502" s="265" t="e">
        <f t="shared" si="17"/>
        <v>#REF!</v>
      </c>
      <c r="I502" s="267"/>
      <c r="K502" s="261"/>
      <c r="L502" s="261"/>
    </row>
    <row r="503" spans="1:12" ht="12.65" customHeight="1" x14ac:dyDescent="0.35">
      <c r="A503" s="180" t="s">
        <v>519</v>
      </c>
      <c r="B503" s="240" t="e">
        <f>#REF!</f>
        <v>#REF!</v>
      </c>
      <c r="C503" s="240">
        <f>J71</f>
        <v>0</v>
      </c>
      <c r="D503" s="240" t="e">
        <f>#REF!</f>
        <v>#REF!</v>
      </c>
      <c r="E503" s="180">
        <f>J59</f>
        <v>0</v>
      </c>
      <c r="F503" s="263" t="e">
        <f t="shared" si="16"/>
        <v>#REF!</v>
      </c>
      <c r="G503" s="263" t="str">
        <f t="shared" si="16"/>
        <v/>
      </c>
      <c r="H503" s="265" t="e">
        <f t="shared" si="17"/>
        <v>#REF!</v>
      </c>
      <c r="I503" s="267"/>
      <c r="K503" s="261"/>
      <c r="L503" s="261"/>
    </row>
    <row r="504" spans="1:12" ht="12.65" customHeight="1" x14ac:dyDescent="0.35">
      <c r="A504" s="180" t="s">
        <v>520</v>
      </c>
      <c r="B504" s="240" t="e">
        <f>#REF!</f>
        <v>#REF!</v>
      </c>
      <c r="C504" s="240">
        <f>K71</f>
        <v>0</v>
      </c>
      <c r="D504" s="240" t="e">
        <f>#REF!</f>
        <v>#REF!</v>
      </c>
      <c r="E504" s="180">
        <f>K59</f>
        <v>0</v>
      </c>
      <c r="F504" s="263" t="e">
        <f t="shared" si="16"/>
        <v>#REF!</v>
      </c>
      <c r="G504" s="263" t="str">
        <f t="shared" si="16"/>
        <v/>
      </c>
      <c r="H504" s="265" t="e">
        <f t="shared" si="17"/>
        <v>#REF!</v>
      </c>
      <c r="I504" s="267"/>
      <c r="K504" s="261"/>
      <c r="L504" s="261"/>
    </row>
    <row r="505" spans="1:12" ht="12.65" customHeight="1" x14ac:dyDescent="0.35">
      <c r="A505" s="180" t="s">
        <v>521</v>
      </c>
      <c r="B505" s="240" t="e">
        <f>#REF!</f>
        <v>#REF!</v>
      </c>
      <c r="C505" s="240">
        <f>L71</f>
        <v>0</v>
      </c>
      <c r="D505" s="240" t="e">
        <f>#REF!</f>
        <v>#REF!</v>
      </c>
      <c r="E505" s="180">
        <f>L59</f>
        <v>0</v>
      </c>
      <c r="F505" s="263" t="e">
        <f t="shared" si="16"/>
        <v>#REF!</v>
      </c>
      <c r="G505" s="263" t="str">
        <f t="shared" si="16"/>
        <v/>
      </c>
      <c r="H505" s="265" t="e">
        <f t="shared" si="17"/>
        <v>#REF!</v>
      </c>
      <c r="I505" s="267"/>
      <c r="K505" s="261"/>
      <c r="L505" s="261"/>
    </row>
    <row r="506" spans="1:12" ht="12.65" customHeight="1" x14ac:dyDescent="0.35">
      <c r="A506" s="180" t="s">
        <v>522</v>
      </c>
      <c r="B506" s="240" t="e">
        <f>#REF!</f>
        <v>#REF!</v>
      </c>
      <c r="C506" s="240">
        <f>M71</f>
        <v>6488093.5299999993</v>
      </c>
      <c r="D506" s="240" t="e">
        <f>#REF!</f>
        <v>#REF!</v>
      </c>
      <c r="E506" s="180">
        <f>M59</f>
        <v>3836</v>
      </c>
      <c r="F506" s="263" t="e">
        <f t="shared" si="16"/>
        <v>#REF!</v>
      </c>
      <c r="G506" s="263">
        <f t="shared" si="16"/>
        <v>1691.3695333680917</v>
      </c>
      <c r="H506" s="265" t="e">
        <f t="shared" si="17"/>
        <v>#REF!</v>
      </c>
      <c r="I506" s="267"/>
      <c r="K506" s="261"/>
      <c r="L506" s="261"/>
    </row>
    <row r="507" spans="1:12" ht="12.65" customHeight="1" x14ac:dyDescent="0.35">
      <c r="A507" s="180" t="s">
        <v>523</v>
      </c>
      <c r="B507" s="240" t="e">
        <f>#REF!</f>
        <v>#REF!</v>
      </c>
      <c r="C507" s="240">
        <f>N71</f>
        <v>18217973.169999998</v>
      </c>
      <c r="D507" s="240" t="e">
        <f>#REF!</f>
        <v>#REF!</v>
      </c>
      <c r="E507" s="180">
        <f>N59</f>
        <v>0</v>
      </c>
      <c r="F507" s="263" t="e">
        <f t="shared" si="16"/>
        <v>#REF!</v>
      </c>
      <c r="G507" s="263" t="str">
        <f t="shared" si="16"/>
        <v/>
      </c>
      <c r="H507" s="265" t="e">
        <f t="shared" si="17"/>
        <v>#REF!</v>
      </c>
      <c r="I507" s="267"/>
      <c r="K507" s="261"/>
      <c r="L507" s="261"/>
    </row>
    <row r="508" spans="1:12" ht="12.65" customHeight="1" x14ac:dyDescent="0.35">
      <c r="A508" s="180" t="s">
        <v>524</v>
      </c>
      <c r="B508" s="240" t="e">
        <f>#REF!</f>
        <v>#REF!</v>
      </c>
      <c r="C508" s="240">
        <f>O71</f>
        <v>26227738.5</v>
      </c>
      <c r="D508" s="240" t="e">
        <f>#REF!</f>
        <v>#REF!</v>
      </c>
      <c r="E508" s="180">
        <f>O59</f>
        <v>4367</v>
      </c>
      <c r="F508" s="263" t="e">
        <f t="shared" si="16"/>
        <v>#REF!</v>
      </c>
      <c r="G508" s="263">
        <f t="shared" si="16"/>
        <v>6005.8938630638886</v>
      </c>
      <c r="H508" s="265" t="e">
        <f t="shared" si="17"/>
        <v>#REF!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 t="e">
        <f>#REF!</f>
        <v>#REF!</v>
      </c>
      <c r="C509" s="240">
        <f>P71</f>
        <v>53477336.250000015</v>
      </c>
      <c r="D509" s="240" t="e">
        <f>#REF!</f>
        <v>#REF!</v>
      </c>
      <c r="E509" s="180">
        <f>P59</f>
        <v>739476</v>
      </c>
      <c r="F509" s="263" t="e">
        <f t="shared" si="16"/>
        <v>#REF!</v>
      </c>
      <c r="G509" s="263">
        <f t="shared" si="16"/>
        <v>72.31787948493259</v>
      </c>
      <c r="H509" s="265" t="e">
        <f t="shared" si="17"/>
        <v>#REF!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 t="e">
        <f>#REF!</f>
        <v>#REF!</v>
      </c>
      <c r="C510" s="240">
        <f>Q71</f>
        <v>7578328.2399999993</v>
      </c>
      <c r="D510" s="240" t="e">
        <f>#REF!</f>
        <v>#REF!</v>
      </c>
      <c r="E510" s="180">
        <f>Q59</f>
        <v>1821899</v>
      </c>
      <c r="F510" s="263" t="e">
        <f t="shared" si="16"/>
        <v>#REF!</v>
      </c>
      <c r="G510" s="263">
        <f t="shared" si="16"/>
        <v>4.1595764858534965</v>
      </c>
      <c r="H510" s="265" t="e">
        <f t="shared" si="17"/>
        <v>#REF!</v>
      </c>
      <c r="I510" s="267"/>
      <c r="K510" s="261"/>
      <c r="L510" s="261"/>
    </row>
    <row r="511" spans="1:12" ht="12.65" customHeight="1" x14ac:dyDescent="0.35">
      <c r="A511" s="180" t="s">
        <v>527</v>
      </c>
      <c r="B511" s="240" t="e">
        <f>#REF!</f>
        <v>#REF!</v>
      </c>
      <c r="C511" s="240">
        <f>R71</f>
        <v>1294192.3599999999</v>
      </c>
      <c r="D511" s="240" t="e">
        <f>#REF!</f>
        <v>#REF!</v>
      </c>
      <c r="E511" s="180">
        <f>R59</f>
        <v>1277090</v>
      </c>
      <c r="F511" s="263" t="e">
        <f t="shared" si="16"/>
        <v>#REF!</v>
      </c>
      <c r="G511" s="263">
        <f t="shared" si="16"/>
        <v>1.0133916638608085</v>
      </c>
      <c r="H511" s="265" t="e">
        <f t="shared" si="17"/>
        <v>#REF!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 t="e">
        <f>#REF!</f>
        <v>#REF!</v>
      </c>
      <c r="C512" s="240">
        <f>S71</f>
        <v>2899012.1500000004</v>
      </c>
      <c r="D512" s="181" t="s">
        <v>529</v>
      </c>
      <c r="E512" s="181" t="s">
        <v>529</v>
      </c>
      <c r="F512" s="263" t="e">
        <f t="shared" ref="F512:G527" si="18">IF(B512=0,"",IF(D512=0,"",B512/D512))</f>
        <v>#REF!</v>
      </c>
      <c r="G512" s="263" t="str">
        <f t="shared" si="18"/>
        <v/>
      </c>
      <c r="H512" s="265" t="e">
        <f t="shared" si="17"/>
        <v>#REF!</v>
      </c>
      <c r="I512" s="267"/>
      <c r="K512" s="261"/>
      <c r="L512" s="261"/>
    </row>
    <row r="513" spans="1:12" ht="12.65" customHeight="1" x14ac:dyDescent="0.35">
      <c r="A513" s="180" t="s">
        <v>1246</v>
      </c>
      <c r="B513" s="240" t="e">
        <f>#REF!</f>
        <v>#REF!</v>
      </c>
      <c r="C513" s="240">
        <f>T71</f>
        <v>0</v>
      </c>
      <c r="D513" s="181" t="s">
        <v>529</v>
      </c>
      <c r="E513" s="181" t="s">
        <v>529</v>
      </c>
      <c r="F513" s="263" t="e">
        <f t="shared" si="18"/>
        <v>#REF!</v>
      </c>
      <c r="G513" s="263" t="str">
        <f t="shared" si="18"/>
        <v/>
      </c>
      <c r="H513" s="265" t="e">
        <f t="shared" si="17"/>
        <v>#REF!</v>
      </c>
      <c r="I513" s="267"/>
      <c r="K513" s="261"/>
      <c r="L513" s="261"/>
    </row>
    <row r="514" spans="1:12" ht="12.65" customHeight="1" x14ac:dyDescent="0.35">
      <c r="A514" s="180" t="s">
        <v>530</v>
      </c>
      <c r="B514" s="240" t="e">
        <f>#REF!</f>
        <v>#REF!</v>
      </c>
      <c r="C514" s="240">
        <f>U71</f>
        <v>17543932.050000001</v>
      </c>
      <c r="D514" s="240" t="e">
        <f>#REF!</f>
        <v>#REF!</v>
      </c>
      <c r="E514" s="180">
        <f>U59</f>
        <v>881954</v>
      </c>
      <c r="F514" s="263" t="e">
        <f t="shared" si="18"/>
        <v>#REF!</v>
      </c>
      <c r="G514" s="263">
        <f t="shared" si="18"/>
        <v>19.892116879111608</v>
      </c>
      <c r="H514" s="265" t="e">
        <f t="shared" si="17"/>
        <v>#REF!</v>
      </c>
      <c r="I514" s="267"/>
      <c r="K514" s="261"/>
      <c r="L514" s="261"/>
    </row>
    <row r="515" spans="1:12" ht="12.65" customHeight="1" x14ac:dyDescent="0.35">
      <c r="A515" s="180" t="s">
        <v>531</v>
      </c>
      <c r="B515" s="240" t="e">
        <f>#REF!</f>
        <v>#REF!</v>
      </c>
      <c r="C515" s="240">
        <f>V71</f>
        <v>218160.22000000003</v>
      </c>
      <c r="D515" s="240" t="e">
        <f>#REF!</f>
        <v>#REF!</v>
      </c>
      <c r="E515" s="180">
        <f>V59</f>
        <v>0</v>
      </c>
      <c r="F515" s="263" t="e">
        <f t="shared" si="18"/>
        <v>#REF!</v>
      </c>
      <c r="G515" s="263" t="str">
        <f t="shared" si="18"/>
        <v/>
      </c>
      <c r="H515" s="265" t="e">
        <f t="shared" si="17"/>
        <v>#REF!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 t="e">
        <f>#REF!</f>
        <v>#REF!</v>
      </c>
      <c r="C516" s="240">
        <f>W71</f>
        <v>1361517.1</v>
      </c>
      <c r="D516" s="240" t="e">
        <f>#REF!</f>
        <v>#REF!</v>
      </c>
      <c r="E516" s="180">
        <f>W59</f>
        <v>30016.71</v>
      </c>
      <c r="F516" s="263" t="e">
        <f t="shared" si="18"/>
        <v>#REF!</v>
      </c>
      <c r="G516" s="263">
        <f t="shared" si="18"/>
        <v>45.358638571648932</v>
      </c>
      <c r="H516" s="265" t="e">
        <f t="shared" si="17"/>
        <v>#REF!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 t="e">
        <f>#REF!</f>
        <v>#REF!</v>
      </c>
      <c r="C517" s="240">
        <f>X71</f>
        <v>2606730.7199999997</v>
      </c>
      <c r="D517" s="240" t="e">
        <f>#REF!</f>
        <v>#REF!</v>
      </c>
      <c r="E517" s="180">
        <f>X59</f>
        <v>138648.74</v>
      </c>
      <c r="F517" s="263" t="e">
        <f t="shared" si="18"/>
        <v>#REF!</v>
      </c>
      <c r="G517" s="263">
        <f t="shared" si="18"/>
        <v>18.800969413786234</v>
      </c>
      <c r="H517" s="265" t="e">
        <f t="shared" si="17"/>
        <v>#REF!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 t="e">
        <f>#REF!</f>
        <v>#REF!</v>
      </c>
      <c r="C518" s="240">
        <f>Y71</f>
        <v>30539349.609999999</v>
      </c>
      <c r="D518" s="240" t="e">
        <f>#REF!</f>
        <v>#REF!</v>
      </c>
      <c r="E518" s="180">
        <f>Y59</f>
        <v>336276.15</v>
      </c>
      <c r="F518" s="263" t="e">
        <f t="shared" si="18"/>
        <v>#REF!</v>
      </c>
      <c r="G518" s="263">
        <f t="shared" si="18"/>
        <v>90.816281826706998</v>
      </c>
      <c r="H518" s="265" t="e">
        <f t="shared" si="17"/>
        <v>#REF!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 t="e">
        <f>#REF!</f>
        <v>#REF!</v>
      </c>
      <c r="C519" s="240">
        <f>Z71</f>
        <v>8133401.04</v>
      </c>
      <c r="D519" s="240" t="e">
        <f>#REF!</f>
        <v>#REF!</v>
      </c>
      <c r="E519" s="180">
        <f>Z59</f>
        <v>60040.18</v>
      </c>
      <c r="F519" s="263" t="e">
        <f t="shared" si="18"/>
        <v>#REF!</v>
      </c>
      <c r="G519" s="263">
        <f t="shared" si="18"/>
        <v>135.46596695746081</v>
      </c>
      <c r="H519" s="265" t="e">
        <f t="shared" si="17"/>
        <v>#REF!</v>
      </c>
      <c r="I519" s="267"/>
      <c r="K519" s="261"/>
      <c r="L519" s="261"/>
    </row>
    <row r="520" spans="1:12" ht="12.65" customHeight="1" x14ac:dyDescent="0.35">
      <c r="A520" s="180" t="s">
        <v>536</v>
      </c>
      <c r="B520" s="240" t="e">
        <f>#REF!</f>
        <v>#REF!</v>
      </c>
      <c r="C520" s="240">
        <f>AA71</f>
        <v>1227813.33</v>
      </c>
      <c r="D520" s="240" t="e">
        <f>#REF!</f>
        <v>#REF!</v>
      </c>
      <c r="E520" s="180">
        <f>AA59</f>
        <v>13413.4</v>
      </c>
      <c r="F520" s="263" t="e">
        <f t="shared" si="18"/>
        <v>#REF!</v>
      </c>
      <c r="G520" s="263">
        <f t="shared" si="18"/>
        <v>91.53632412363757</v>
      </c>
      <c r="H520" s="265" t="e">
        <f t="shared" si="17"/>
        <v>#REF!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 t="e">
        <f>#REF!</f>
        <v>#REF!</v>
      </c>
      <c r="C521" s="240">
        <f>AB71</f>
        <v>25126454.330000006</v>
      </c>
      <c r="D521" s="181" t="s">
        <v>529</v>
      </c>
      <c r="E521" s="181" t="s">
        <v>529</v>
      </c>
      <c r="F521" s="263" t="e">
        <f t="shared" si="18"/>
        <v>#REF!</v>
      </c>
      <c r="G521" s="263" t="str">
        <f t="shared" si="18"/>
        <v/>
      </c>
      <c r="H521" s="265" t="e">
        <f t="shared" si="17"/>
        <v>#REF!</v>
      </c>
      <c r="I521" s="267"/>
      <c r="K521" s="261"/>
      <c r="L521" s="261"/>
    </row>
    <row r="522" spans="1:12" ht="12.65" customHeight="1" x14ac:dyDescent="0.35">
      <c r="A522" s="180" t="s">
        <v>538</v>
      </c>
      <c r="B522" s="240" t="e">
        <f>#REF!</f>
        <v>#REF!</v>
      </c>
      <c r="C522" s="240">
        <f>AC71</f>
        <v>3776362.15</v>
      </c>
      <c r="D522" s="240" t="e">
        <f>#REF!</f>
        <v>#REF!</v>
      </c>
      <c r="E522" s="180">
        <f>AC59</f>
        <v>24456.870000000003</v>
      </c>
      <c r="F522" s="263" t="e">
        <f t="shared" si="18"/>
        <v>#REF!</v>
      </c>
      <c r="G522" s="263">
        <f t="shared" si="18"/>
        <v>154.40905357063269</v>
      </c>
      <c r="H522" s="265" t="e">
        <f t="shared" si="17"/>
        <v>#REF!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 t="e">
        <f>#REF!</f>
        <v>#REF!</v>
      </c>
      <c r="C523" s="240">
        <f>AD71</f>
        <v>0</v>
      </c>
      <c r="D523" s="240" t="e">
        <f>#REF!</f>
        <v>#REF!</v>
      </c>
      <c r="E523" s="180">
        <f>AD59</f>
        <v>0</v>
      </c>
      <c r="F523" s="263" t="e">
        <f t="shared" si="18"/>
        <v>#REF!</v>
      </c>
      <c r="G523" s="263" t="str">
        <f t="shared" si="18"/>
        <v/>
      </c>
      <c r="H523" s="265" t="e">
        <f t="shared" si="17"/>
        <v>#REF!</v>
      </c>
      <c r="I523" s="267"/>
      <c r="K523" s="261"/>
      <c r="L523" s="261"/>
    </row>
    <row r="524" spans="1:12" ht="12.65" customHeight="1" x14ac:dyDescent="0.35">
      <c r="A524" s="180" t="s">
        <v>540</v>
      </c>
      <c r="B524" s="240" t="e">
        <f>#REF!</f>
        <v>#REF!</v>
      </c>
      <c r="C524" s="240">
        <f>AE71</f>
        <v>6331645.6100000013</v>
      </c>
      <c r="D524" s="240" t="e">
        <f>#REF!</f>
        <v>#REF!</v>
      </c>
      <c r="E524" s="180">
        <f>AE59</f>
        <v>72038</v>
      </c>
      <c r="F524" s="263" t="e">
        <f t="shared" si="18"/>
        <v>#REF!</v>
      </c>
      <c r="G524" s="263">
        <f t="shared" si="18"/>
        <v>87.893134317998857</v>
      </c>
      <c r="H524" s="265" t="e">
        <f t="shared" si="17"/>
        <v>#REF!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 t="e">
        <f>#REF!</f>
        <v>#REF!</v>
      </c>
      <c r="C525" s="240">
        <f>AF71</f>
        <v>0</v>
      </c>
      <c r="D525" s="240" t="e">
        <f>#REF!</f>
        <v>#REF!</v>
      </c>
      <c r="E525" s="180">
        <f>AF59</f>
        <v>0</v>
      </c>
      <c r="F525" s="263" t="e">
        <f t="shared" si="18"/>
        <v>#REF!</v>
      </c>
      <c r="G525" s="263" t="str">
        <f t="shared" si="18"/>
        <v/>
      </c>
      <c r="H525" s="265" t="e">
        <f t="shared" si="17"/>
        <v>#REF!</v>
      </c>
      <c r="I525" s="267"/>
      <c r="K525" s="261"/>
      <c r="L525" s="261"/>
    </row>
    <row r="526" spans="1:12" ht="12.65" customHeight="1" x14ac:dyDescent="0.35">
      <c r="A526" s="180" t="s">
        <v>542</v>
      </c>
      <c r="B526" s="240" t="e">
        <f>#REF!</f>
        <v>#REF!</v>
      </c>
      <c r="C526" s="240">
        <f>AG71</f>
        <v>16616042.75</v>
      </c>
      <c r="D526" s="240" t="e">
        <f>#REF!</f>
        <v>#REF!</v>
      </c>
      <c r="E526" s="180">
        <f>AG59</f>
        <v>95286</v>
      </c>
      <c r="F526" s="263" t="e">
        <f t="shared" si="18"/>
        <v>#REF!</v>
      </c>
      <c r="G526" s="263">
        <f t="shared" si="18"/>
        <v>174.38073536511135</v>
      </c>
      <c r="H526" s="265" t="e">
        <f t="shared" si="17"/>
        <v>#REF!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 t="e">
        <f>#REF!</f>
        <v>#REF!</v>
      </c>
      <c r="C527" s="240">
        <f>AH71</f>
        <v>0</v>
      </c>
      <c r="D527" s="240" t="e">
        <f>#REF!</f>
        <v>#REF!</v>
      </c>
      <c r="E527" s="180">
        <f>AH59</f>
        <v>0</v>
      </c>
      <c r="F527" s="263" t="e">
        <f t="shared" si="18"/>
        <v>#REF!</v>
      </c>
      <c r="G527" s="263" t="str">
        <f t="shared" si="18"/>
        <v/>
      </c>
      <c r="H527" s="265" t="e">
        <f t="shared" si="17"/>
        <v>#REF!</v>
      </c>
      <c r="I527" s="267"/>
      <c r="K527" s="261"/>
      <c r="L527" s="261"/>
    </row>
    <row r="528" spans="1:12" ht="12.65" customHeight="1" x14ac:dyDescent="0.35">
      <c r="A528" s="180" t="s">
        <v>544</v>
      </c>
      <c r="B528" s="240" t="e">
        <f>#REF!</f>
        <v>#REF!</v>
      </c>
      <c r="C528" s="240">
        <f>AI71</f>
        <v>0</v>
      </c>
      <c r="D528" s="240" t="e">
        <f>#REF!</f>
        <v>#REF!</v>
      </c>
      <c r="E528" s="180">
        <f>AI59</f>
        <v>0</v>
      </c>
      <c r="F528" s="263" t="e">
        <f t="shared" ref="F528:G540" si="19">IF(B528=0,"",IF(D528=0,"",B528/D528))</f>
        <v>#REF!</v>
      </c>
      <c r="G528" s="263" t="str">
        <f t="shared" si="19"/>
        <v/>
      </c>
      <c r="H528" s="265" t="e">
        <f t="shared" si="17"/>
        <v>#REF!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 t="e">
        <f>#REF!</f>
        <v>#REF!</v>
      </c>
      <c r="C529" s="240">
        <f>AJ71</f>
        <v>89150309.269999981</v>
      </c>
      <c r="D529" s="240" t="e">
        <f>#REF!</f>
        <v>#REF!</v>
      </c>
      <c r="E529" s="180">
        <f>AJ59</f>
        <v>249762</v>
      </c>
      <c r="F529" s="263" t="e">
        <f t="shared" si="19"/>
        <v>#REF!</v>
      </c>
      <c r="G529" s="263">
        <f t="shared" si="19"/>
        <v>356.94104495479689</v>
      </c>
      <c r="H529" s="265" t="e">
        <f t="shared" si="17"/>
        <v>#REF!</v>
      </c>
      <c r="I529" s="267"/>
      <c r="K529" s="261"/>
      <c r="L529" s="261"/>
    </row>
    <row r="530" spans="1:12" ht="12.65" customHeight="1" x14ac:dyDescent="0.35">
      <c r="A530" s="180" t="s">
        <v>546</v>
      </c>
      <c r="B530" s="240" t="e">
        <f>#REF!</f>
        <v>#REF!</v>
      </c>
      <c r="C530" s="240">
        <f>AK71</f>
        <v>0</v>
      </c>
      <c r="D530" s="240" t="e">
        <f>#REF!</f>
        <v>#REF!</v>
      </c>
      <c r="E530" s="180">
        <f>AK59</f>
        <v>0</v>
      </c>
      <c r="F530" s="263" t="e">
        <f t="shared" si="19"/>
        <v>#REF!</v>
      </c>
      <c r="G530" s="263" t="str">
        <f t="shared" si="19"/>
        <v/>
      </c>
      <c r="H530" s="265" t="e">
        <f t="shared" si="17"/>
        <v>#REF!</v>
      </c>
      <c r="I530" s="267"/>
      <c r="K530" s="261"/>
      <c r="L530" s="261"/>
    </row>
    <row r="531" spans="1:12" ht="12.65" customHeight="1" x14ac:dyDescent="0.35">
      <c r="A531" s="180" t="s">
        <v>547</v>
      </c>
      <c r="B531" s="240" t="e">
        <f>#REF!</f>
        <v>#REF!</v>
      </c>
      <c r="C531" s="240">
        <f>AL71</f>
        <v>0</v>
      </c>
      <c r="D531" s="240" t="e">
        <f>#REF!</f>
        <v>#REF!</v>
      </c>
      <c r="E531" s="180">
        <f>AL59</f>
        <v>0</v>
      </c>
      <c r="F531" s="263" t="e">
        <f t="shared" si="19"/>
        <v>#REF!</v>
      </c>
      <c r="G531" s="263" t="str">
        <f t="shared" si="19"/>
        <v/>
      </c>
      <c r="H531" s="265" t="e">
        <f t="shared" si="17"/>
        <v>#REF!</v>
      </c>
      <c r="I531" s="267"/>
      <c r="K531" s="261"/>
      <c r="L531" s="261"/>
    </row>
    <row r="532" spans="1:12" ht="12.65" customHeight="1" x14ac:dyDescent="0.35">
      <c r="A532" s="180" t="s">
        <v>548</v>
      </c>
      <c r="B532" s="240" t="e">
        <f>#REF!</f>
        <v>#REF!</v>
      </c>
      <c r="C532" s="240">
        <f>AM71</f>
        <v>0</v>
      </c>
      <c r="D532" s="240" t="e">
        <f>#REF!</f>
        <v>#REF!</v>
      </c>
      <c r="E532" s="180">
        <f>AM59</f>
        <v>0</v>
      </c>
      <c r="F532" s="263" t="e">
        <f t="shared" si="19"/>
        <v>#REF!</v>
      </c>
      <c r="G532" s="263" t="str">
        <f t="shared" si="19"/>
        <v/>
      </c>
      <c r="H532" s="265" t="e">
        <f t="shared" si="17"/>
        <v>#REF!</v>
      </c>
      <c r="I532" s="267"/>
      <c r="K532" s="261"/>
      <c r="L532" s="261"/>
    </row>
    <row r="533" spans="1:12" ht="12.65" customHeight="1" x14ac:dyDescent="0.35">
      <c r="A533" s="180" t="s">
        <v>1247</v>
      </c>
      <c r="B533" s="240" t="e">
        <f>#REF!</f>
        <v>#REF!</v>
      </c>
      <c r="C533" s="240">
        <f>AN71</f>
        <v>0</v>
      </c>
      <c r="D533" s="240" t="e">
        <f>#REF!</f>
        <v>#REF!</v>
      </c>
      <c r="E533" s="180">
        <f>AN59</f>
        <v>0</v>
      </c>
      <c r="F533" s="263" t="e">
        <f t="shared" si="19"/>
        <v>#REF!</v>
      </c>
      <c r="G533" s="263" t="str">
        <f t="shared" si="19"/>
        <v/>
      </c>
      <c r="H533" s="265" t="e">
        <f t="shared" si="17"/>
        <v>#REF!</v>
      </c>
      <c r="I533" s="267"/>
      <c r="K533" s="261"/>
      <c r="L533" s="261"/>
    </row>
    <row r="534" spans="1:12" ht="12.65" customHeight="1" x14ac:dyDescent="0.35">
      <c r="A534" s="180" t="s">
        <v>549</v>
      </c>
      <c r="B534" s="240" t="e">
        <f>#REF!</f>
        <v>#REF!</v>
      </c>
      <c r="C534" s="240">
        <f>AO71</f>
        <v>0</v>
      </c>
      <c r="D534" s="240" t="e">
        <f>#REF!</f>
        <v>#REF!</v>
      </c>
      <c r="E534" s="180">
        <f>AO59</f>
        <v>0</v>
      </c>
      <c r="F534" s="263" t="e">
        <f t="shared" si="19"/>
        <v>#REF!</v>
      </c>
      <c r="G534" s="263" t="str">
        <f t="shared" si="19"/>
        <v/>
      </c>
      <c r="H534" s="265" t="e">
        <f t="shared" si="17"/>
        <v>#REF!</v>
      </c>
      <c r="I534" s="267"/>
      <c r="K534" s="261"/>
      <c r="L534" s="261"/>
    </row>
    <row r="535" spans="1:12" ht="12.65" customHeight="1" x14ac:dyDescent="0.35">
      <c r="A535" s="180" t="s">
        <v>550</v>
      </c>
      <c r="B535" s="240" t="e">
        <f>#REF!</f>
        <v>#REF!</v>
      </c>
      <c r="C535" s="240">
        <f>AP71</f>
        <v>73089663.260000005</v>
      </c>
      <c r="D535" s="240" t="e">
        <f>#REF!</f>
        <v>#REF!</v>
      </c>
      <c r="E535" s="180">
        <f>AP59</f>
        <v>330570</v>
      </c>
      <c r="F535" s="263" t="e">
        <f t="shared" si="19"/>
        <v>#REF!</v>
      </c>
      <c r="G535" s="263">
        <f t="shared" si="19"/>
        <v>221.10192473606196</v>
      </c>
      <c r="H535" s="265" t="e">
        <f t="shared" si="17"/>
        <v>#REF!</v>
      </c>
      <c r="I535" s="267"/>
      <c r="K535" s="261"/>
      <c r="L535" s="261"/>
    </row>
    <row r="536" spans="1:12" ht="12.65" customHeight="1" x14ac:dyDescent="0.35">
      <c r="A536" s="180" t="s">
        <v>551</v>
      </c>
      <c r="B536" s="240" t="e">
        <f>#REF!</f>
        <v>#REF!</v>
      </c>
      <c r="C536" s="240">
        <f>AQ71</f>
        <v>0</v>
      </c>
      <c r="D536" s="240" t="e">
        <f>#REF!</f>
        <v>#REF!</v>
      </c>
      <c r="E536" s="180">
        <f>AQ59</f>
        <v>0</v>
      </c>
      <c r="F536" s="263" t="e">
        <f t="shared" si="19"/>
        <v>#REF!</v>
      </c>
      <c r="G536" s="263" t="str">
        <f t="shared" si="19"/>
        <v/>
      </c>
      <c r="H536" s="265" t="e">
        <f t="shared" si="17"/>
        <v>#REF!</v>
      </c>
      <c r="I536" s="267"/>
      <c r="K536" s="261"/>
      <c r="L536" s="261"/>
    </row>
    <row r="537" spans="1:12" ht="12.65" customHeight="1" x14ac:dyDescent="0.35">
      <c r="A537" s="180" t="s">
        <v>552</v>
      </c>
      <c r="B537" s="240" t="e">
        <f>#REF!</f>
        <v>#REF!</v>
      </c>
      <c r="C537" s="240">
        <f>AR71</f>
        <v>65774180.809999995</v>
      </c>
      <c r="D537" s="240" t="e">
        <f>#REF!</f>
        <v>#REF!</v>
      </c>
      <c r="E537" s="180">
        <f>AR59</f>
        <v>0</v>
      </c>
      <c r="F537" s="263" t="e">
        <f t="shared" si="19"/>
        <v>#REF!</v>
      </c>
      <c r="G537" s="263" t="str">
        <f t="shared" si="19"/>
        <v/>
      </c>
      <c r="H537" s="265" t="e">
        <f t="shared" si="17"/>
        <v>#REF!</v>
      </c>
      <c r="I537" s="267"/>
      <c r="K537" s="261"/>
      <c r="L537" s="261"/>
    </row>
    <row r="538" spans="1:12" ht="12.65" customHeight="1" x14ac:dyDescent="0.35">
      <c r="A538" s="180" t="s">
        <v>553</v>
      </c>
      <c r="B538" s="240" t="e">
        <f>#REF!</f>
        <v>#REF!</v>
      </c>
      <c r="C538" s="240">
        <f>AS71</f>
        <v>0</v>
      </c>
      <c r="D538" s="240" t="e">
        <f>#REF!</f>
        <v>#REF!</v>
      </c>
      <c r="E538" s="180">
        <f>AS59</f>
        <v>0</v>
      </c>
      <c r="F538" s="263" t="e">
        <f t="shared" si="19"/>
        <v>#REF!</v>
      </c>
      <c r="G538" s="263" t="str">
        <f t="shared" si="19"/>
        <v/>
      </c>
      <c r="H538" s="265" t="e">
        <f t="shared" si="17"/>
        <v>#REF!</v>
      </c>
      <c r="I538" s="267"/>
      <c r="K538" s="261"/>
      <c r="L538" s="261"/>
    </row>
    <row r="539" spans="1:12" ht="12.65" customHeight="1" x14ac:dyDescent="0.35">
      <c r="A539" s="180" t="s">
        <v>554</v>
      </c>
      <c r="B539" s="240" t="e">
        <f>#REF!</f>
        <v>#REF!</v>
      </c>
      <c r="C539" s="240">
        <f>AT71</f>
        <v>0</v>
      </c>
      <c r="D539" s="240" t="e">
        <f>#REF!</f>
        <v>#REF!</v>
      </c>
      <c r="E539" s="180">
        <f>AT59</f>
        <v>0</v>
      </c>
      <c r="F539" s="263" t="e">
        <f t="shared" si="19"/>
        <v>#REF!</v>
      </c>
      <c r="G539" s="263" t="str">
        <f t="shared" si="19"/>
        <v/>
      </c>
      <c r="H539" s="265" t="e">
        <f t="shared" si="17"/>
        <v>#REF!</v>
      </c>
      <c r="I539" s="267"/>
      <c r="K539" s="261"/>
      <c r="L539" s="261"/>
    </row>
    <row r="540" spans="1:12" ht="12.65" customHeight="1" x14ac:dyDescent="0.35">
      <c r="A540" s="180" t="s">
        <v>555</v>
      </c>
      <c r="B540" s="240" t="e">
        <f>#REF!</f>
        <v>#REF!</v>
      </c>
      <c r="C540" s="240">
        <f>AU71</f>
        <v>0</v>
      </c>
      <c r="D540" s="240" t="e">
        <f>#REF!</f>
        <v>#REF!</v>
      </c>
      <c r="E540" s="180">
        <f>AU59</f>
        <v>0</v>
      </c>
      <c r="F540" s="263" t="e">
        <f t="shared" si="19"/>
        <v>#REF!</v>
      </c>
      <c r="G540" s="263" t="str">
        <f t="shared" si="19"/>
        <v/>
      </c>
      <c r="H540" s="265" t="e">
        <f t="shared" si="17"/>
        <v>#REF!</v>
      </c>
      <c r="I540" s="267"/>
      <c r="K540" s="261"/>
      <c r="L540" s="261"/>
    </row>
    <row r="541" spans="1:12" ht="12.65" customHeight="1" x14ac:dyDescent="0.35">
      <c r="A541" s="180" t="s">
        <v>556</v>
      </c>
      <c r="B541" s="240" t="e">
        <f>#REF!</f>
        <v>#REF!</v>
      </c>
      <c r="C541" s="240">
        <f>AV71</f>
        <v>3680391.3200000012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 t="e">
        <f>#REF!</f>
        <v>#REF!</v>
      </c>
      <c r="C542" s="240">
        <f>AW71</f>
        <v>-1520587.2999999998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 t="e">
        <f>#REF!</f>
        <v>#REF!</v>
      </c>
      <c r="C543" s="240">
        <f>AX71</f>
        <v>5028771.9899999993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 t="e">
        <f>#REF!</f>
        <v>#REF!</v>
      </c>
      <c r="C544" s="240">
        <f>AY71</f>
        <v>0</v>
      </c>
      <c r="D544" s="240" t="e">
        <f>#REF!</f>
        <v>#REF!</v>
      </c>
      <c r="E544" s="180">
        <f>AY59</f>
        <v>0</v>
      </c>
      <c r="F544" s="263" t="e">
        <f t="shared" ref="F544:G550" si="20">IF(B544=0,"",IF(D544=0,"",B544/D544))</f>
        <v>#REF!</v>
      </c>
      <c r="G544" s="263" t="str">
        <f t="shared" si="20"/>
        <v/>
      </c>
      <c r="H544" s="265" t="e">
        <f t="shared" si="17"/>
        <v>#REF!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 t="e">
        <f>#REF!</f>
        <v>#REF!</v>
      </c>
      <c r="C545" s="240">
        <f>AZ71</f>
        <v>4909692.3099999987</v>
      </c>
      <c r="D545" s="240" t="e">
        <f>#REF!</f>
        <v>#REF!</v>
      </c>
      <c r="E545" s="180">
        <f>AZ59</f>
        <v>721631.94</v>
      </c>
      <c r="F545" s="263" t="e">
        <f t="shared" si="20"/>
        <v>#REF!</v>
      </c>
      <c r="G545" s="263">
        <f t="shared" si="20"/>
        <v>6.8035961795150017</v>
      </c>
      <c r="H545" s="265" t="e">
        <f t="shared" si="17"/>
        <v>#REF!</v>
      </c>
      <c r="I545" s="267"/>
      <c r="K545" s="261"/>
      <c r="L545" s="261"/>
    </row>
    <row r="546" spans="1:13" ht="12.65" customHeight="1" x14ac:dyDescent="0.35">
      <c r="A546" s="180" t="s">
        <v>560</v>
      </c>
      <c r="B546" s="240" t="e">
        <f>#REF!</f>
        <v>#REF!</v>
      </c>
      <c r="C546" s="240">
        <f>BA71</f>
        <v>368842.56000000006</v>
      </c>
      <c r="D546" s="240" t="e">
        <f>#REF!</f>
        <v>#REF!</v>
      </c>
      <c r="E546" s="180" t="str">
        <f>BA59</f>
        <v>x</v>
      </c>
      <c r="F546" s="263" t="e">
        <f t="shared" si="20"/>
        <v>#REF!</v>
      </c>
      <c r="G546" s="263" t="str">
        <f t="shared" si="20"/>
        <v/>
      </c>
      <c r="H546" s="265" t="e">
        <f t="shared" si="17"/>
        <v>#REF!</v>
      </c>
      <c r="I546" s="267"/>
      <c r="K546" s="261"/>
      <c r="L546" s="261"/>
    </row>
    <row r="547" spans="1:13" ht="12.65" customHeight="1" x14ac:dyDescent="0.35">
      <c r="A547" s="180" t="s">
        <v>561</v>
      </c>
      <c r="B547" s="240" t="e">
        <f>#REF!</f>
        <v>#REF!</v>
      </c>
      <c r="C547" s="240">
        <f>BB71</f>
        <v>227839.55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 t="e">
        <f>#REF!</f>
        <v>#REF!</v>
      </c>
      <c r="C548" s="240">
        <f>BC71</f>
        <v>342608.7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 t="e">
        <f>#REF!</f>
        <v>#REF!</v>
      </c>
      <c r="C549" s="240">
        <f>BD71</f>
        <v>3185816.23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 t="e">
        <f>#REF!</f>
        <v>#REF!</v>
      </c>
      <c r="C550" s="240">
        <f>BE71</f>
        <v>14451946.390000001</v>
      </c>
      <c r="D550" s="240" t="e">
        <f>#REF!</f>
        <v>#REF!</v>
      </c>
      <c r="E550" s="180">
        <f>BE59</f>
        <v>679195</v>
      </c>
      <c r="F550" s="263" t="e">
        <f t="shared" si="20"/>
        <v>#REF!</v>
      </c>
      <c r="G550" s="263">
        <f t="shared" si="20"/>
        <v>21.278051796612168</v>
      </c>
      <c r="H550" s="265" t="e">
        <f t="shared" si="17"/>
        <v>#REF!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 t="e">
        <f>#REF!</f>
        <v>#REF!</v>
      </c>
      <c r="C551" s="240">
        <f>BF71</f>
        <v>5982507.4100000001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 t="e">
        <f>#REF!</f>
        <v>#REF!</v>
      </c>
      <c r="C552" s="240">
        <f>BG71</f>
        <v>2620613.54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 t="e">
        <f>#REF!</f>
        <v>#REF!</v>
      </c>
      <c r="C553" s="240">
        <f>BH71</f>
        <v>35119633.379999995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 t="e">
        <f>#REF!</f>
        <v>#REF!</v>
      </c>
      <c r="C554" s="240">
        <f>BI71</f>
        <v>12268848.76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 t="e">
        <f>#REF!</f>
        <v>#REF!</v>
      </c>
      <c r="C555" s="240">
        <f>BJ71</f>
        <v>1859104.5599999998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 t="e">
        <f>#REF!</f>
        <v>#REF!</v>
      </c>
      <c r="C556" s="240">
        <f>BK71</f>
        <v>9749778.1099999994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 t="e">
        <f>#REF!</f>
        <v>#REF!</v>
      </c>
      <c r="C557" s="240">
        <f>BL71</f>
        <v>5318745.74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 t="e">
        <f>#REF!</f>
        <v>#REF!</v>
      </c>
      <c r="C558" s="240">
        <f>BM71</f>
        <v>4833478.4899999993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 t="e">
        <f>#REF!</f>
        <v>#REF!</v>
      </c>
      <c r="C559" s="240">
        <f>BN71</f>
        <v>10645467.970000001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 t="e">
        <f>#REF!</f>
        <v>#REF!</v>
      </c>
      <c r="C560" s="240">
        <f>BO71</f>
        <v>1282071.1199999999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 t="e">
        <f>#REF!</f>
        <v>#REF!</v>
      </c>
      <c r="C561" s="240">
        <f>BP71</f>
        <v>5845316.419999999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 t="e">
        <f>#REF!</f>
        <v>#REF!</v>
      </c>
      <c r="C562" s="240">
        <f>BQ71</f>
        <v>655488.51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 t="e">
        <f>#REF!</f>
        <v>#REF!</v>
      </c>
      <c r="C563" s="240">
        <f>BR71</f>
        <v>4815164.0799999991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 t="e">
        <f>#REF!</f>
        <v>#REF!</v>
      </c>
      <c r="C564" s="240">
        <f>BS71</f>
        <v>208586.09000000008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 t="e">
        <f>#REF!</f>
        <v>#REF!</v>
      </c>
      <c r="C565" s="240">
        <f>BT71</f>
        <v>204493.85000000003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 t="e">
        <f>#REF!</f>
        <v>#REF!</v>
      </c>
      <c r="C566" s="240">
        <f>BU71</f>
        <v>278655.23000000004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 t="e">
        <f>#REF!</f>
        <v>#REF!</v>
      </c>
      <c r="C567" s="240">
        <f>BV71</f>
        <v>6068270.3199999994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 t="e">
        <f>#REF!</f>
        <v>#REF!</v>
      </c>
      <c r="C568" s="240">
        <f>BW71</f>
        <v>3555395.4699999993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 t="e">
        <f>#REF!</f>
        <v>#REF!</v>
      </c>
      <c r="C569" s="240">
        <f>BX71</f>
        <v>7126403.6299999999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 t="e">
        <f>#REF!</f>
        <v>#REF!</v>
      </c>
      <c r="C570" s="240">
        <f>BY71</f>
        <v>1880918.0799999998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 t="e">
        <f>#REF!</f>
        <v>#REF!</v>
      </c>
      <c r="C571" s="240">
        <f>BZ71</f>
        <v>5449476.1699999999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 t="e">
        <f>#REF!</f>
        <v>#REF!</v>
      </c>
      <c r="C572" s="240">
        <f>CA71</f>
        <v>2703403.01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 t="e">
        <f>#REF!</f>
        <v>#REF!</v>
      </c>
      <c r="C573" s="240">
        <f>CB71</f>
        <v>5850458.8099999996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 t="e">
        <f>#REF!</f>
        <v>#REF!</v>
      </c>
      <c r="C574" s="240">
        <f>CC71</f>
        <v>7198573.2300000004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 t="e">
        <f>#REF!</f>
        <v>#REF!</v>
      </c>
      <c r="C575" s="240">
        <f>CD71</f>
        <v>7565236.3699999992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926109</v>
      </c>
      <c r="E612" s="180">
        <f>SUM(C624:D647)+SUM(C668:D713)</f>
        <v>666211958.41495323</v>
      </c>
      <c r="F612" s="180">
        <f>CE64-(AX64+BD64+BE64+BG64+BJ64+BN64+BP64+BQ64+CB64+CC64+CD64)</f>
        <v>104473566.09000002</v>
      </c>
      <c r="G612" s="180">
        <f>CE77-(AX77+AY77+BD77+BE77+BG77+BJ77+BN77+BP77+BQ77+CB77+CC77+CD77)</f>
        <v>198262</v>
      </c>
      <c r="H612" s="197">
        <f>CE60-(AX60+AY60+AZ60+BD60+BE60+BG60+BJ60+BN60+BO60+BP60+BQ60+BR60+CB60+CC60+CD60)</f>
        <v>3411.640043103449</v>
      </c>
      <c r="I612" s="180">
        <f>CE78-(AX78+AY78+AZ78+BD78+BE78+BF78+BG78+BJ78+BN78+BO78+BP78+BQ78+BR78+CB78+CC78+CD78)</f>
        <v>104947</v>
      </c>
      <c r="J612" s="180">
        <f>CE79-(AX79+AY79+AZ79+BA79+BD79+BE79+BF79+BG79+BJ79+BN79+BO79+BP79+BQ79+BR79+CB79+CC79+CD79)</f>
        <v>2375724.7999999998</v>
      </c>
      <c r="K612" s="180">
        <f>CE75-(AW75+AX75+AY75+AZ75+BA75+BB75+BC75+BD75+BE75+BF75+BG75+BH75+BI75+BJ75+BK75+BL75+BM75+BN75+BO75+BP75+BQ75+BR75+BS75+BT75+BU75+BV75+BW75+BX75+CB75+CC75+CD75)</f>
        <v>1904525415.6900003</v>
      </c>
      <c r="L612" s="197">
        <f>CE80-(AW80+AX80+AY80+AZ80+BA80+BB80+BC80+BD80+BE80+BF80+BG80+BH80+BI80+BJ80+BK80+BL80+BM80+BN80+BO80+BP80+BQ80+BR80+BS80+BT80+BU80+BV80+BW80+BX80+BY80+BZ80+CA80+CB80+CC80+CD80)</f>
        <v>939.05448659003832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14451946.390000001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7565236.3699999992</v>
      </c>
      <c r="D615" s="266">
        <f>SUM(C614:C615)</f>
        <v>22017182.759999998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5028771.9899999993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1859104.5599999998</v>
      </c>
      <c r="D617" s="180">
        <f>(D615/D612)*BJ76</f>
        <v>108289.91778699915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2620613.54</v>
      </c>
      <c r="D618" s="180">
        <f>(D615/D612)*BG76</f>
        <v>120699.87104381881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10645467.970000001</v>
      </c>
      <c r="D619" s="180">
        <f>(D615/D612)*BN76</f>
        <v>338967.6504515991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7198573.2300000004</v>
      </c>
      <c r="D620" s="180">
        <f>(D615/D612)*CC76</f>
        <v>187242.89626573113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5845316.419999999</v>
      </c>
      <c r="D621" s="180">
        <f>(D615/D612)*BP76</f>
        <v>45027.684805395475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5850458.8099999996</v>
      </c>
      <c r="D622" s="180">
        <f>(D615/D612)*CB76</f>
        <v>95832.41681655182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655488.51</v>
      </c>
      <c r="D623" s="180">
        <f>(D615/D612)*BQ76</f>
        <v>39868.757876794196</v>
      </c>
      <c r="E623" s="180">
        <f>SUM(C616:D623)</f>
        <v>40639724.225046888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3185816.23</v>
      </c>
      <c r="D624" s="180">
        <f>(D615/D612)*BD76</f>
        <v>215795.2982991419</v>
      </c>
      <c r="E624" s="180">
        <f>(E623/E612)*SUM(C624:D624)</f>
        <v>207502.36120005761</v>
      </c>
      <c r="F624" s="180">
        <f>SUM(C624:E624)</f>
        <v>3609113.8894991991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4815164.0799999991</v>
      </c>
      <c r="D626" s="180">
        <f>(D615/D612)*BR76</f>
        <v>80831.11316702461</v>
      </c>
      <c r="E626" s="180">
        <f>(E623/E612)*SUM(C626:D626)</f>
        <v>298661.54749136523</v>
      </c>
      <c r="F626" s="180">
        <f>(F624/F612)*BR64</f>
        <v>1104.9698668208944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1282071.1199999999</v>
      </c>
      <c r="D627" s="180">
        <f>(D615/D612)*BO76</f>
        <v>49497.169886395663</v>
      </c>
      <c r="E627" s="180">
        <f>(E623/E612)*SUM(C627:D627)</f>
        <v>81227.254185814076</v>
      </c>
      <c r="F627" s="180">
        <f>(F624/F612)*BO64</f>
        <v>2988.8322646438319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4909692.3099999987</v>
      </c>
      <c r="D628" s="180">
        <f>(D615/D612)*AZ76</f>
        <v>560563.76981331571</v>
      </c>
      <c r="E628" s="180">
        <f>(E623/E612)*SUM(C628:D628)</f>
        <v>333692.14664491592</v>
      </c>
      <c r="F628" s="180">
        <f>(F624/F612)*AZ64</f>
        <v>56923.905866831155</v>
      </c>
      <c r="G628" s="180">
        <f>(G625/G612)*AZ77</f>
        <v>0</v>
      </c>
      <c r="H628" s="180">
        <f>SUM(C626:G628)</f>
        <v>12472418.219187126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5982507.4100000001</v>
      </c>
      <c r="D629" s="180">
        <f>(D615/D612)*BF76</f>
        <v>228918.46726037646</v>
      </c>
      <c r="E629" s="180">
        <f>(E623/E612)*SUM(C629:D629)</f>
        <v>378904.38847234566</v>
      </c>
      <c r="F629" s="180">
        <f>(F624/F612)*BF64</f>
        <v>11874.606435139758</v>
      </c>
      <c r="G629" s="180">
        <f>(G625/G612)*BF77</f>
        <v>0</v>
      </c>
      <c r="H629" s="180">
        <f>(H628/H612)*BF60</f>
        <v>351474.59386907466</v>
      </c>
      <c r="I629" s="180">
        <f>SUM(C629:H629)</f>
        <v>6953679.4660369363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368842.56000000006</v>
      </c>
      <c r="D630" s="180">
        <f>(D615/D612)*BA76</f>
        <v>85324.372104838621</v>
      </c>
      <c r="E630" s="180">
        <f>(E623/E612)*SUM(C630:D630)</f>
        <v>27704.724659685668</v>
      </c>
      <c r="F630" s="180">
        <f>(F624/F612)*BA64</f>
        <v>706.32545962544407</v>
      </c>
      <c r="G630" s="180">
        <f>(G625/G612)*BA77</f>
        <v>0</v>
      </c>
      <c r="H630" s="180">
        <f>(H628/H612)*BA60</f>
        <v>18911.840662322305</v>
      </c>
      <c r="I630" s="180">
        <f>(I629/I612)*BA78</f>
        <v>29750.274712479481</v>
      </c>
      <c r="J630" s="180">
        <f>SUM(C630:I630)</f>
        <v>531240.09759895154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-1520587.2999999998</v>
      </c>
      <c r="D631" s="180">
        <f>(D615/D612)*AW76</f>
        <v>92979.553998892137</v>
      </c>
      <c r="E631" s="180">
        <f>(E623/E612)*SUM(C631:D631)</f>
        <v>-87085.775579683119</v>
      </c>
      <c r="F631" s="180">
        <f>(F624/F612)*AW64</f>
        <v>1332.3190078357673</v>
      </c>
      <c r="G631" s="180">
        <f>(G625/G612)*AW77</f>
        <v>0</v>
      </c>
      <c r="H631" s="180">
        <f>(H628/H612)*AW60</f>
        <v>61623.775432686918</v>
      </c>
      <c r="I631" s="180">
        <f>(I629/I612)*AW78</f>
        <v>32400.633261475425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227839.55</v>
      </c>
      <c r="D632" s="180">
        <f>(D615/D612)*BB76</f>
        <v>0</v>
      </c>
      <c r="E632" s="180">
        <f>(E623/E612)*SUM(C632:D632)</f>
        <v>13898.484352620342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342608.7</v>
      </c>
      <c r="D633" s="180">
        <f>(D615/D612)*BC76</f>
        <v>0</v>
      </c>
      <c r="E633" s="180">
        <f>(E623/E612)*SUM(C633:D633)</f>
        <v>20899.53941719775</v>
      </c>
      <c r="F633" s="180">
        <f>(F624/F612)*BC64</f>
        <v>22.523805245877558</v>
      </c>
      <c r="G633" s="180">
        <f>(G625/G612)*BC77</f>
        <v>0</v>
      </c>
      <c r="H633" s="180">
        <f>(H628/H612)*BC60</f>
        <v>21421.81807077536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12268848.76</v>
      </c>
      <c r="D634" s="180">
        <f>(D615/D612)*BI76</f>
        <v>623112.78709050443</v>
      </c>
      <c r="E634" s="180">
        <f>(E623/E612)*SUM(C634:D634)</f>
        <v>786425.03391891578</v>
      </c>
      <c r="F634" s="180">
        <f>(F624/F612)*BI64</f>
        <v>152169.93039805317</v>
      </c>
      <c r="G634" s="180">
        <f>(G625/G612)*BI77</f>
        <v>0</v>
      </c>
      <c r="H634" s="180">
        <f>(H628/H612)*BI60</f>
        <v>211358.81472418507</v>
      </c>
      <c r="I634" s="180">
        <f>(I629/I612)*BI78</f>
        <v>217196.88309021769</v>
      </c>
      <c r="J634" s="180">
        <f>(J630/J612)*BI79</f>
        <v>6306.1121350434396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9749778.1099999994</v>
      </c>
      <c r="D635" s="180">
        <f>(D615/D612)*BK76</f>
        <v>261845.25894753207</v>
      </c>
      <c r="E635" s="180">
        <f>(E623/E612)*SUM(C635:D635)</f>
        <v>610720.96893469733</v>
      </c>
      <c r="F635" s="180">
        <f>(F624/F612)*BK64</f>
        <v>2764.4806551951924</v>
      </c>
      <c r="G635" s="180">
        <f>(G625/G612)*BK77</f>
        <v>0</v>
      </c>
      <c r="H635" s="180">
        <f>(H628/H612)*BK60</f>
        <v>311363.47228404606</v>
      </c>
      <c r="I635" s="180">
        <f>(I629/I612)*BK78</f>
        <v>91238.593049185394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35119633.379999995</v>
      </c>
      <c r="D636" s="180">
        <f>(D615/D612)*BH76</f>
        <v>590399.96011467325</v>
      </c>
      <c r="E636" s="180">
        <f>(E623/E612)*SUM(C636:D636)</f>
        <v>2178354.6342552663</v>
      </c>
      <c r="F636" s="180">
        <f>(F624/F612)*BH64</f>
        <v>42172.49407974643</v>
      </c>
      <c r="G636" s="180">
        <f>(G625/G612)*BH77</f>
        <v>0</v>
      </c>
      <c r="H636" s="180">
        <f>(H628/H612)*BH60</f>
        <v>438186.97275682969</v>
      </c>
      <c r="I636" s="180">
        <f>(I629/I612)*BH78</f>
        <v>205734.08236581023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5318745.74</v>
      </c>
      <c r="D637" s="180">
        <f>(D615/D612)*BL76</f>
        <v>119107.02263729215</v>
      </c>
      <c r="E637" s="180">
        <f>(E623/E612)*SUM(C637:D637)</f>
        <v>331715.50564143801</v>
      </c>
      <c r="F637" s="180">
        <f>(F624/F612)*BL64</f>
        <v>1469.4084902705499</v>
      </c>
      <c r="G637" s="180">
        <f>(G625/G612)*BL77</f>
        <v>0</v>
      </c>
      <c r="H637" s="180">
        <f>(H628/H612)*BL60</f>
        <v>266051.35464599536</v>
      </c>
      <c r="I637" s="180">
        <f>(I629/I612)*BL78</f>
        <v>41544.370255511436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4833478.4899999993</v>
      </c>
      <c r="D638" s="180">
        <f>(D615/D612)*BM76</f>
        <v>111214.10217510033</v>
      </c>
      <c r="E638" s="180">
        <f>(E623/E612)*SUM(C638:D638)</f>
        <v>301632.1469247255</v>
      </c>
      <c r="F638" s="180">
        <f>(F624/F612)*BM64</f>
        <v>1021.6231509827554</v>
      </c>
      <c r="G638" s="180">
        <f>(G625/G612)*BM77</f>
        <v>0</v>
      </c>
      <c r="H638" s="180">
        <f>(H628/H612)*BM60</f>
        <v>129926.16906922133</v>
      </c>
      <c r="I638" s="180">
        <f>(I629/I612)*BM78</f>
        <v>38761.493779065691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208586.09000000008</v>
      </c>
      <c r="D639" s="180">
        <f>(D615/D612)*BS76</f>
        <v>121460.63446186139</v>
      </c>
      <c r="E639" s="180">
        <f>(E623/E612)*SUM(C639:D639)</f>
        <v>20133.24392348378</v>
      </c>
      <c r="F639" s="180">
        <f>(F624/F612)*BS64</f>
        <v>9400.5484847906118</v>
      </c>
      <c r="G639" s="180">
        <f>(G625/G612)*BS77</f>
        <v>0</v>
      </c>
      <c r="H639" s="180">
        <f>(H628/H612)*BS60</f>
        <v>16504.149801392414</v>
      </c>
      <c r="I639" s="180">
        <f>(I629/I612)*BS78</f>
        <v>42339.477820210217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204493.85000000003</v>
      </c>
      <c r="D640" s="180">
        <f>(D615/D612)*BT76</f>
        <v>22513.842402697737</v>
      </c>
      <c r="E640" s="180">
        <f>(E623/E612)*SUM(C640:D640)</f>
        <v>13847.740046815168</v>
      </c>
      <c r="F640" s="180">
        <f>(F624/F612)*BT64</f>
        <v>20.272115635561146</v>
      </c>
      <c r="G640" s="180">
        <f>(G625/G612)*BT77</f>
        <v>0</v>
      </c>
      <c r="H640" s="180">
        <f>(H628/H612)*BT60</f>
        <v>6428.294552711136</v>
      </c>
      <c r="I640" s="180">
        <f>(I629/I612)*BT78</f>
        <v>7818.5577195380374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278655.23000000004</v>
      </c>
      <c r="D641" s="180">
        <f>(D615/D612)*BU76</f>
        <v>0</v>
      </c>
      <c r="E641" s="180">
        <f>(E623/E612)*SUM(C641:D641)</f>
        <v>16998.301453504551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6068270.3199999994</v>
      </c>
      <c r="D642" s="180">
        <f>(D615/D612)*BV76</f>
        <v>408767.69405700621</v>
      </c>
      <c r="E642" s="180">
        <f>(E623/E612)*SUM(C642:D642)</f>
        <v>395107.04568060476</v>
      </c>
      <c r="F642" s="180">
        <f>(F624/F612)*BV64</f>
        <v>423.60817619058594</v>
      </c>
      <c r="G642" s="180">
        <f>(G625/G612)*BV77</f>
        <v>0</v>
      </c>
      <c r="H642" s="180">
        <f>(H628/H612)*BV60</f>
        <v>194296.85131143688</v>
      </c>
      <c r="I642" s="180">
        <f>(I629/I612)*BV78</f>
        <v>142456.77200853205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3555395.4699999993</v>
      </c>
      <c r="D643" s="180">
        <f>(D615/D612)*BW76</f>
        <v>81924.710580460829</v>
      </c>
      <c r="E643" s="180">
        <f>(E623/E612)*SUM(C643:D643)</f>
        <v>221880.87017933332</v>
      </c>
      <c r="F643" s="180">
        <f>(F624/F612)*BW64</f>
        <v>334.14583267962865</v>
      </c>
      <c r="G643" s="180">
        <f>(G625/G612)*BW77</f>
        <v>0</v>
      </c>
      <c r="H643" s="180">
        <f>(H628/H612)*BW60</f>
        <v>28389.59449652375</v>
      </c>
      <c r="I643" s="180">
        <f>(I629/I612)*BW78</f>
        <v>28557.613365431305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7126403.6299999999</v>
      </c>
      <c r="D644" s="180">
        <f>(D615/D612)*BX76</f>
        <v>84373.417832285399</v>
      </c>
      <c r="E644" s="180">
        <f>(E623/E612)*SUM(C644:D644)</f>
        <v>439866.00205947965</v>
      </c>
      <c r="F644" s="180">
        <f>(F624/F612)*BX64</f>
        <v>1075.9359218532595</v>
      </c>
      <c r="G644" s="180">
        <f>(G625/G612)*BX77</f>
        <v>0</v>
      </c>
      <c r="H644" s="180">
        <f>(H628/H612)*BX60</f>
        <v>187486.25159522553</v>
      </c>
      <c r="I644" s="180">
        <f>(I629/I612)*BX78</f>
        <v>29418.979893854987</v>
      </c>
      <c r="J644" s="180">
        <f>(J630/J612)*BX79</f>
        <v>0</v>
      </c>
      <c r="K644" s="180">
        <f>SUM(C631:J644)</f>
        <v>94533261.123110041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1880918.0799999998</v>
      </c>
      <c r="D645" s="180">
        <f>(D615/D612)*BY76</f>
        <v>31357.717137442785</v>
      </c>
      <c r="E645" s="180">
        <f>(E623/E612)*SUM(C645:D645)</f>
        <v>116651.10488679132</v>
      </c>
      <c r="F645" s="180">
        <f>(F624/F612)*BY64</f>
        <v>220.0713955376506</v>
      </c>
      <c r="G645" s="180">
        <f>(G625/G612)*BY77</f>
        <v>0</v>
      </c>
      <c r="H645" s="180">
        <f>(H628/H612)*BY60</f>
        <v>44118.225973807399</v>
      </c>
      <c r="I645" s="180">
        <f>(I629/I612)*BY78</f>
        <v>10932.729014608272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5449476.1699999999</v>
      </c>
      <c r="D646" s="180">
        <f>(D615/D612)*BZ76</f>
        <v>0</v>
      </c>
      <c r="E646" s="180">
        <f>(E623/E612)*SUM(C646:D646)</f>
        <v>332424.54735677992</v>
      </c>
      <c r="F646" s="180">
        <f>(F624/F612)*BZ64</f>
        <v>484.03001104833072</v>
      </c>
      <c r="G646" s="180">
        <f>(G625/G612)*BZ77</f>
        <v>0</v>
      </c>
      <c r="H646" s="180">
        <f>(H628/H612)*BZ60</f>
        <v>164817.82279232051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2703403.01</v>
      </c>
      <c r="D647" s="180">
        <f>(D615/D612)*CA76</f>
        <v>132444.15630985121</v>
      </c>
      <c r="E647" s="180">
        <f>(E623/E612)*SUM(C647:D647)</f>
        <v>172990.06018656641</v>
      </c>
      <c r="F647" s="180">
        <f>(F624/F612)*CA64</f>
        <v>7722.2517373784149</v>
      </c>
      <c r="G647" s="180">
        <f>(G625/G612)*CA77</f>
        <v>0</v>
      </c>
      <c r="H647" s="180">
        <f>(H628/H612)*CA60</f>
        <v>54040.301224731753</v>
      </c>
      <c r="I647" s="180">
        <f>(I629/I612)*CA78</f>
        <v>46182.497716254336</v>
      </c>
      <c r="J647" s="180">
        <f>(J630/J612)*CA79</f>
        <v>0</v>
      </c>
      <c r="K647" s="180">
        <v>0</v>
      </c>
      <c r="L647" s="180">
        <f>SUM(C645:K647)</f>
        <v>11148182.775743116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176081018.77999997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21552545.400000002</v>
      </c>
      <c r="D668" s="180">
        <f>(D615/D612)*C76</f>
        <v>760359.26247674949</v>
      </c>
      <c r="E668" s="180">
        <f>(E623/E612)*SUM(C668:D668)</f>
        <v>1361113.8027306611</v>
      </c>
      <c r="F668" s="180">
        <f>(F624/F612)*C64</f>
        <v>53299.288416923497</v>
      </c>
      <c r="G668" s="180">
        <f>(G625/G612)*C77</f>
        <v>0</v>
      </c>
      <c r="H668" s="180">
        <f>(H628/H612)*C60</f>
        <v>508631.13324132207</v>
      </c>
      <c r="I668" s="180">
        <f>(I629/I612)*C78</f>
        <v>264969.59593586961</v>
      </c>
      <c r="J668" s="180">
        <f>(J630/J612)*C79</f>
        <v>45713.541558520345</v>
      </c>
      <c r="K668" s="180">
        <f>(K644/K612)*C75</f>
        <v>3848415.9638105505</v>
      </c>
      <c r="L668" s="180">
        <f>(L647/L612)*C80</f>
        <v>1166910.1436181858</v>
      </c>
      <c r="M668" s="180">
        <f t="shared" ref="M668:M713" si="21">ROUND(SUM(D668:L668),0)</f>
        <v>8009413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10539740.489999998</v>
      </c>
      <c r="D669" s="180">
        <f>(D615/D612)*D76</f>
        <v>579321.34283942811</v>
      </c>
      <c r="E669" s="180">
        <f>(E623/E612)*SUM(C669:D669)</f>
        <v>678276.03635776497</v>
      </c>
      <c r="F669" s="180">
        <f>(F624/F612)*D64</f>
        <v>21575.730955450985</v>
      </c>
      <c r="G669" s="180">
        <f>(G625/G612)*D77</f>
        <v>0</v>
      </c>
      <c r="H669" s="180">
        <f>(H628/H612)*D60</f>
        <v>233463.56445982531</v>
      </c>
      <c r="I669" s="180">
        <f>(I629/I612)*D78</f>
        <v>201891.0624697661</v>
      </c>
      <c r="J669" s="180">
        <f>(J630/J612)*D79</f>
        <v>45440.106813997336</v>
      </c>
      <c r="K669" s="180">
        <f>(K644/K612)*D75</f>
        <v>2201376.5589145436</v>
      </c>
      <c r="L669" s="180">
        <f>(L647/L612)*D80</f>
        <v>492497.61552463414</v>
      </c>
      <c r="M669" s="180">
        <f t="shared" si="21"/>
        <v>4453842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33958631.68</v>
      </c>
      <c r="D670" s="180">
        <f>(D615/D612)*E76</f>
        <v>2674130.9621333126</v>
      </c>
      <c r="E670" s="180">
        <f>(E623/E612)*SUM(C670:D670)</f>
        <v>2234642.2224541125</v>
      </c>
      <c r="F670" s="180">
        <f>(F624/F612)*E64</f>
        <v>62357.13927764089</v>
      </c>
      <c r="G670" s="180">
        <f>(G625/G612)*E77</f>
        <v>0</v>
      </c>
      <c r="H670" s="180">
        <f>(H628/H612)*E60</f>
        <v>981112.4637126571</v>
      </c>
      <c r="I670" s="180">
        <f>(I629/I612)*E78</f>
        <v>931998.58375442401</v>
      </c>
      <c r="J670" s="180">
        <f>(J630/J612)*E79</f>
        <v>123256.1409472667</v>
      </c>
      <c r="K670" s="180">
        <f>(K644/K612)*E75</f>
        <v>6618612.8233908024</v>
      </c>
      <c r="L670" s="180">
        <f>(L647/L612)*E80</f>
        <v>1954748.2777863413</v>
      </c>
      <c r="M670" s="180">
        <f t="shared" si="21"/>
        <v>15580859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879057.72000000009</v>
      </c>
      <c r="D671" s="180">
        <f>(D615/D612)*F76</f>
        <v>0</v>
      </c>
      <c r="E671" s="180">
        <f>(E623/E612)*SUM(C671:D671)</f>
        <v>53623.569597421149</v>
      </c>
      <c r="F671" s="180">
        <f>(F624/F612)*F64</f>
        <v>861.53347791200247</v>
      </c>
      <c r="G671" s="180">
        <f>(G625/G612)*F77</f>
        <v>0</v>
      </c>
      <c r="H671" s="180">
        <f>(H628/H612)*F60</f>
        <v>24254.623168929207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1825.9577334606806</v>
      </c>
      <c r="M671" s="180">
        <f t="shared" si="21"/>
        <v>80566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2482060.7999999998</v>
      </c>
      <c r="D672" s="180">
        <f>(D615/D612)*G76</f>
        <v>216223.22772179084</v>
      </c>
      <c r="E672" s="180">
        <f>(E623/E612)*SUM(C672:D672)</f>
        <v>164598.54462588564</v>
      </c>
      <c r="F672" s="180">
        <f>(F624/F612)*G64</f>
        <v>2836.1464289048217</v>
      </c>
      <c r="G672" s="180">
        <f>(G625/G612)*G77</f>
        <v>0</v>
      </c>
      <c r="H672" s="180">
        <f>(H628/H612)*G60</f>
        <v>63447.792149790715</v>
      </c>
      <c r="I672" s="180">
        <f>(I629/I612)*G78</f>
        <v>75336.441755209729</v>
      </c>
      <c r="J672" s="180">
        <f>(J630/J612)*G79</f>
        <v>8489.5986206067719</v>
      </c>
      <c r="K672" s="180">
        <f>(K644/K612)*G75</f>
        <v>705152.81671346573</v>
      </c>
      <c r="L672" s="180">
        <f>(L647/L612)*G80</f>
        <v>130586.36792869227</v>
      </c>
      <c r="M672" s="180">
        <f t="shared" si="21"/>
        <v>1366671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6488093.5299999993</v>
      </c>
      <c r="D678" s="180">
        <f>(D615/D612)*M76</f>
        <v>487839.54181980737</v>
      </c>
      <c r="E678" s="180">
        <f>(E623/E612)*SUM(C678:D678)</f>
        <v>425540.23936412419</v>
      </c>
      <c r="F678" s="180">
        <f>(F624/F612)*M64</f>
        <v>4753.0960202682454</v>
      </c>
      <c r="G678" s="180">
        <f>(G625/G612)*M77</f>
        <v>0</v>
      </c>
      <c r="H678" s="180">
        <f>(H628/H612)*M60</f>
        <v>174603.03156909414</v>
      </c>
      <c r="I678" s="180">
        <f>(I629/I612)*M78</f>
        <v>170020.50091808985</v>
      </c>
      <c r="J678" s="180">
        <f>(J630/J612)*M79</f>
        <v>5965.007987761579</v>
      </c>
      <c r="K678" s="180">
        <f>(K644/K612)*M75</f>
        <v>330592.11354160652</v>
      </c>
      <c r="L678" s="180">
        <f>(L647/L612)*M80</f>
        <v>212622.33061533331</v>
      </c>
      <c r="M678" s="180">
        <f t="shared" si="21"/>
        <v>1811936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18217973.169999998</v>
      </c>
      <c r="D679" s="180">
        <f>(D615/D612)*N76</f>
        <v>120176.84619391453</v>
      </c>
      <c r="E679" s="180">
        <f>(E623/E612)*SUM(C679:D679)</f>
        <v>1118649.0275989203</v>
      </c>
      <c r="F679" s="180">
        <f>(F624/F612)*N64</f>
        <v>513.80288882917</v>
      </c>
      <c r="G679" s="180">
        <f>(G625/G612)*N77</f>
        <v>0</v>
      </c>
      <c r="H679" s="180">
        <f>(H628/H612)*N60</f>
        <v>173634.18081469595</v>
      </c>
      <c r="I679" s="180">
        <f>(I629/I612)*N78</f>
        <v>41875.665074135926</v>
      </c>
      <c r="J679" s="180">
        <f>(J630/J612)*N79</f>
        <v>0</v>
      </c>
      <c r="K679" s="180">
        <f>(K644/K612)*N75</f>
        <v>919661.44598473457</v>
      </c>
      <c r="L679" s="180">
        <f>(L647/L612)*N80</f>
        <v>0</v>
      </c>
      <c r="M679" s="180">
        <f t="shared" si="21"/>
        <v>2374511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26227738.5</v>
      </c>
      <c r="D680" s="180">
        <f>(D615/D612)*O76</f>
        <v>1293226.4891019524</v>
      </c>
      <c r="E680" s="180">
        <f>(E623/E612)*SUM(C680:D680)</f>
        <v>1678811.6956430338</v>
      </c>
      <c r="F680" s="180">
        <f>(F624/F612)*O64</f>
        <v>61774.618746297929</v>
      </c>
      <c r="G680" s="180">
        <f>(G625/G612)*O77</f>
        <v>0</v>
      </c>
      <c r="H680" s="180">
        <f>(H628/H612)*O60</f>
        <v>621046.69280164083</v>
      </c>
      <c r="I680" s="180">
        <f>(I629/I612)*O78</f>
        <v>450693.47125676041</v>
      </c>
      <c r="J680" s="180">
        <f>(J630/J612)*O79</f>
        <v>73807.884308415407</v>
      </c>
      <c r="K680" s="180">
        <f>(K644/K612)*O75</f>
        <v>5410835.1999221165</v>
      </c>
      <c r="L680" s="180">
        <f>(L647/L612)*O80</f>
        <v>1499945.5028724594</v>
      </c>
      <c r="M680" s="180">
        <f t="shared" si="21"/>
        <v>11090142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53477336.250000015</v>
      </c>
      <c r="D681" s="180">
        <f>(D615/D612)*P76</f>
        <v>1710909.3794641451</v>
      </c>
      <c r="E681" s="180">
        <f>(E623/E612)*SUM(C681:D681)</f>
        <v>3366548.8205611166</v>
      </c>
      <c r="F681" s="180">
        <f>(F624/F612)*P64</f>
        <v>1260806.4754569519</v>
      </c>
      <c r="G681" s="180">
        <f>(G625/G612)*P77</f>
        <v>0</v>
      </c>
      <c r="H681" s="180">
        <f>(H628/H612)*P60</f>
        <v>382919.05787358386</v>
      </c>
      <c r="I681" s="180">
        <f>(I629/I612)*P78</f>
        <v>596463.19145153742</v>
      </c>
      <c r="J681" s="180">
        <f>(J630/J612)*P79</f>
        <v>37133.022380244714</v>
      </c>
      <c r="K681" s="180">
        <f>(K644/K612)*P75</f>
        <v>13149651.55676637</v>
      </c>
      <c r="L681" s="180">
        <f>(L647/L612)*P80</f>
        <v>552805.96046221501</v>
      </c>
      <c r="M681" s="180">
        <f t="shared" si="21"/>
        <v>21057237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7578328.2399999993</v>
      </c>
      <c r="D682" s="180">
        <f>(D615/D612)*Q76</f>
        <v>121698.3730299997</v>
      </c>
      <c r="E682" s="180">
        <f>(E623/E612)*SUM(C682:D682)</f>
        <v>469710.80918987794</v>
      </c>
      <c r="F682" s="180">
        <f>(F624/F612)*Q64</f>
        <v>10878.909842189261</v>
      </c>
      <c r="G682" s="180">
        <f>(G625/G612)*Q77</f>
        <v>0</v>
      </c>
      <c r="H682" s="180">
        <f>(H628/H612)*Q60</f>
        <v>178228.53114731703</v>
      </c>
      <c r="I682" s="180">
        <f>(I629/I612)*Q78</f>
        <v>42405.736783935121</v>
      </c>
      <c r="J682" s="180">
        <f>(J630/J612)*Q79</f>
        <v>0</v>
      </c>
      <c r="K682" s="180">
        <f>(K644/K612)*Q75</f>
        <v>1197016.4456067977</v>
      </c>
      <c r="L682" s="180">
        <f>(L647/L612)*Q80</f>
        <v>462864.16651534539</v>
      </c>
      <c r="M682" s="180">
        <f t="shared" si="21"/>
        <v>2482803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1294192.3599999999</v>
      </c>
      <c r="D683" s="180">
        <f>(D615/D612)*R76</f>
        <v>15476.78078580383</v>
      </c>
      <c r="E683" s="180">
        <f>(E623/E612)*SUM(C683:D683)</f>
        <v>79891.379965950691</v>
      </c>
      <c r="F683" s="180">
        <f>(F624/F612)*R64</f>
        <v>14427.322557081692</v>
      </c>
      <c r="G683" s="180">
        <f>(G625/G612)*R77</f>
        <v>0</v>
      </c>
      <c r="H683" s="180">
        <f>(H628/H612)*R60</f>
        <v>26608.859591381148</v>
      </c>
      <c r="I683" s="180">
        <f>(I629/I612)*R78</f>
        <v>5366.9760617167885</v>
      </c>
      <c r="J683" s="180">
        <f>(J630/J612)*R79</f>
        <v>0</v>
      </c>
      <c r="K683" s="180">
        <f>(K644/K612)*R75</f>
        <v>2058557.4630450616</v>
      </c>
      <c r="L683" s="180">
        <f>(L647/L612)*R80</f>
        <v>0</v>
      </c>
      <c r="M683" s="180">
        <f t="shared" si="21"/>
        <v>2200329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2899012.1500000004</v>
      </c>
      <c r="D684" s="180">
        <f>(D615/D612)*S76</f>
        <v>244157.50947804199</v>
      </c>
      <c r="E684" s="180">
        <f>(E623/E612)*SUM(C684:D684)</f>
        <v>191737.09889212201</v>
      </c>
      <c r="F684" s="180">
        <f>(F624/F612)*S64</f>
        <v>24496.668111021056</v>
      </c>
      <c r="G684" s="180">
        <f>(G625/G612)*S77</f>
        <v>0</v>
      </c>
      <c r="H684" s="180">
        <f>(H628/H612)*S60</f>
        <v>72947.081837031088</v>
      </c>
      <c r="I684" s="180">
        <f>(I629/I612)*S78</f>
        <v>85076.509422769828</v>
      </c>
      <c r="J684" s="180">
        <f>(J630/J612)*S79</f>
        <v>4767.5981071943006</v>
      </c>
      <c r="K684" s="180">
        <f>(K644/K612)*S75</f>
        <v>0</v>
      </c>
      <c r="L684" s="180">
        <f>(L647/L612)*S80</f>
        <v>0</v>
      </c>
      <c r="M684" s="180">
        <f t="shared" si="21"/>
        <v>623182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17543932.050000001</v>
      </c>
      <c r="D686" s="180">
        <f>(D615/D612)*U76</f>
        <v>367781.56490996201</v>
      </c>
      <c r="E686" s="180">
        <f>(E623/E612)*SUM(C686:D686)</f>
        <v>1092635.8984006194</v>
      </c>
      <c r="F686" s="180">
        <f>(F624/F612)*U64</f>
        <v>170655.39458285554</v>
      </c>
      <c r="G686" s="180">
        <f>(G625/G612)*U77</f>
        <v>0</v>
      </c>
      <c r="H686" s="180">
        <f>(H628/H612)*U60</f>
        <v>266091.57241382496</v>
      </c>
      <c r="I686" s="180">
        <f>(I629/I612)*U78</f>
        <v>128211.09480767883</v>
      </c>
      <c r="J686" s="180">
        <f>(J630/J612)*U79</f>
        <v>505.8970990271651</v>
      </c>
      <c r="K686" s="180">
        <f>(K644/K612)*U75</f>
        <v>5910548.4672516612</v>
      </c>
      <c r="L686" s="180">
        <f>(L647/L612)*U80</f>
        <v>8509.480435260557</v>
      </c>
      <c r="M686" s="180">
        <f t="shared" si="21"/>
        <v>7944939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218160.22000000003</v>
      </c>
      <c r="D687" s="180">
        <f>(D615/D612)*V76</f>
        <v>7084.6093305215691</v>
      </c>
      <c r="E687" s="180">
        <f>(E623/E612)*SUM(C687:D687)</f>
        <v>13740.203296393862</v>
      </c>
      <c r="F687" s="180">
        <f>(F624/F612)*V64</f>
        <v>926.53538347449955</v>
      </c>
      <c r="G687" s="180">
        <f>(G625/G612)*V77</f>
        <v>0</v>
      </c>
      <c r="H687" s="180">
        <f>(H628/H612)*V60</f>
        <v>8603.0655331719081</v>
      </c>
      <c r="I687" s="180">
        <f>(I629/I612)*V78</f>
        <v>2451.5816578212489</v>
      </c>
      <c r="J687" s="180">
        <f>(J630/J612)*V79</f>
        <v>0</v>
      </c>
      <c r="K687" s="180">
        <f>(K644/K612)*V75</f>
        <v>107123.79098563011</v>
      </c>
      <c r="L687" s="180">
        <f>(L647/L612)*V80</f>
        <v>0</v>
      </c>
      <c r="M687" s="180">
        <f t="shared" si="21"/>
        <v>139930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1361517.1</v>
      </c>
      <c r="D688" s="180">
        <f>(D615/D612)*W76</f>
        <v>73794.051550130709</v>
      </c>
      <c r="E688" s="180">
        <f>(E623/E612)*SUM(C688:D688)</f>
        <v>87555.692507999513</v>
      </c>
      <c r="F688" s="180">
        <f>(F624/F612)*W64</f>
        <v>6393.9759598585651</v>
      </c>
      <c r="G688" s="180">
        <f>(G625/G612)*W77</f>
        <v>0</v>
      </c>
      <c r="H688" s="180">
        <f>(H628/H612)*W60</f>
        <v>18993.081603867577</v>
      </c>
      <c r="I688" s="180">
        <f>(I629/I612)*W78</f>
        <v>25708.477925260664</v>
      </c>
      <c r="J688" s="180">
        <f>(J630/J612)*W79</f>
        <v>4545.4554372361781</v>
      </c>
      <c r="K688" s="180">
        <f>(K644/K612)*W75</f>
        <v>753704.50133734546</v>
      </c>
      <c r="L688" s="180">
        <f>(L647/L612)*W80</f>
        <v>0</v>
      </c>
      <c r="M688" s="180">
        <f t="shared" si="21"/>
        <v>970695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2606730.7199999997</v>
      </c>
      <c r="D689" s="180">
        <f>(D615/D612)*X76</f>
        <v>75268.030672588211</v>
      </c>
      <c r="E689" s="180">
        <f>(E623/E612)*SUM(C689:D689)</f>
        <v>163605.12329826088</v>
      </c>
      <c r="F689" s="180">
        <f>(F624/F612)*X64</f>
        <v>12845.359986523261</v>
      </c>
      <c r="G689" s="180">
        <f>(G625/G612)*X77</f>
        <v>0</v>
      </c>
      <c r="H689" s="180">
        <f>(H628/H612)*X60</f>
        <v>47475.402830224033</v>
      </c>
      <c r="I689" s="180">
        <f>(I629/I612)*X78</f>
        <v>26238.549635059855</v>
      </c>
      <c r="J689" s="180">
        <f>(J630/J612)*X79</f>
        <v>0</v>
      </c>
      <c r="K689" s="180">
        <f>(K644/K612)*X75</f>
        <v>3181065.1217893381</v>
      </c>
      <c r="L689" s="180">
        <f>(L647/L612)*X80</f>
        <v>0</v>
      </c>
      <c r="M689" s="180">
        <f t="shared" si="21"/>
        <v>3506498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30539349.609999999</v>
      </c>
      <c r="D690" s="180">
        <f>(D615/D612)*Y76</f>
        <v>1203622.8227706242</v>
      </c>
      <c r="E690" s="180">
        <f>(E623/E612)*SUM(C690:D690)</f>
        <v>1936359.186377086</v>
      </c>
      <c r="F690" s="180">
        <f>(F624/F612)*Y64</f>
        <v>208315.79148569325</v>
      </c>
      <c r="G690" s="180">
        <f>(G625/G612)*Y77</f>
        <v>0</v>
      </c>
      <c r="H690" s="180">
        <f>(H628/H612)*Y60</f>
        <v>497328.99500472104</v>
      </c>
      <c r="I690" s="180">
        <f>(I629/I612)*Y78</f>
        <v>419485.49934233318</v>
      </c>
      <c r="J690" s="180">
        <f>(J630/J612)*Y79</f>
        <v>57443.92362782111</v>
      </c>
      <c r="K690" s="180">
        <f>(K644/K612)*Y75</f>
        <v>8303036.135272936</v>
      </c>
      <c r="L690" s="180">
        <f>(L647/L612)*Y80</f>
        <v>258761.20942714941</v>
      </c>
      <c r="M690" s="180">
        <f t="shared" si="21"/>
        <v>12884354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8133401.04</v>
      </c>
      <c r="D691" s="180">
        <f>(D615/D612)*Z76</f>
        <v>392102.22043051088</v>
      </c>
      <c r="E691" s="180">
        <f>(E623/E612)*SUM(C691:D691)</f>
        <v>520065.86943885364</v>
      </c>
      <c r="F691" s="180">
        <f>(F624/F612)*Z64</f>
        <v>17898.794022345635</v>
      </c>
      <c r="G691" s="180">
        <f>(G625/G612)*Z77</f>
        <v>0</v>
      </c>
      <c r="H691" s="180">
        <f>(H628/H612)*Z60</f>
        <v>76000.918324423605</v>
      </c>
      <c r="I691" s="180">
        <f>(I629/I612)*Z78</f>
        <v>136625.98320074094</v>
      </c>
      <c r="J691" s="180">
        <f>(J630/J612)*Z79</f>
        <v>10109.359759679233</v>
      </c>
      <c r="K691" s="180">
        <f>(K644/K612)*Z75</f>
        <v>1954564.5699002997</v>
      </c>
      <c r="L691" s="180">
        <f>(L647/L612)*Z80</f>
        <v>50003.040899288892</v>
      </c>
      <c r="M691" s="180">
        <f t="shared" si="21"/>
        <v>3157371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1227813.33</v>
      </c>
      <c r="D692" s="180">
        <f>(D615/D612)*AA76</f>
        <v>27078.422910953246</v>
      </c>
      <c r="E692" s="180">
        <f>(E623/E612)*SUM(C692:D692)</f>
        <v>76549.893958556349</v>
      </c>
      <c r="F692" s="180">
        <f>(F624/F612)*AA64</f>
        <v>15498.622098717087</v>
      </c>
      <c r="G692" s="180">
        <f>(G625/G612)*AA77</f>
        <v>0</v>
      </c>
      <c r="H692" s="180">
        <f>(H628/H612)*AA60</f>
        <v>11262.165592301913</v>
      </c>
      <c r="I692" s="180">
        <f>(I629/I612)*AA78</f>
        <v>9408.772848935605</v>
      </c>
      <c r="J692" s="180">
        <f>(J630/J612)*AA79</f>
        <v>0</v>
      </c>
      <c r="K692" s="180">
        <f>(K644/K612)*AA75</f>
        <v>231335.4135500126</v>
      </c>
      <c r="L692" s="180">
        <f>(L647/L612)*AA80</f>
        <v>0</v>
      </c>
      <c r="M692" s="180">
        <f t="shared" si="21"/>
        <v>371133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25126454.330000006</v>
      </c>
      <c r="D693" s="180">
        <f>(D615/D612)*AB76</f>
        <v>182939.82818242777</v>
      </c>
      <c r="E693" s="180">
        <f>(E623/E612)*SUM(C693:D693)</f>
        <v>1543903.2366496478</v>
      </c>
      <c r="F693" s="180">
        <f>(F624/F612)*AB64</f>
        <v>598136.79921469325</v>
      </c>
      <c r="G693" s="180">
        <f>(G625/G612)*AB77</f>
        <v>0</v>
      </c>
      <c r="H693" s="180">
        <f>(H628/H612)*AB60</f>
        <v>201985.81618163563</v>
      </c>
      <c r="I693" s="180">
        <f>(I629/I612)*AB78</f>
        <v>63741.123103352475</v>
      </c>
      <c r="J693" s="180">
        <f>(J630/J612)*AB79</f>
        <v>0</v>
      </c>
      <c r="K693" s="180">
        <f>(K644/K612)*AB75</f>
        <v>6976832.2461254923</v>
      </c>
      <c r="L693" s="180">
        <f>(L647/L612)*AB80</f>
        <v>0</v>
      </c>
      <c r="M693" s="180">
        <f t="shared" si="21"/>
        <v>9567539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3776362.15</v>
      </c>
      <c r="D694" s="180">
        <f>(D615/D612)*AC76</f>
        <v>62644.112704444073</v>
      </c>
      <c r="E694" s="180">
        <f>(E623/E612)*SUM(C694:D694)</f>
        <v>234183.96179157312</v>
      </c>
      <c r="F694" s="180">
        <f>(F624/F612)*AC64</f>
        <v>13769.097512655948</v>
      </c>
      <c r="G694" s="180">
        <f>(G625/G612)*AC77</f>
        <v>0</v>
      </c>
      <c r="H694" s="180">
        <f>(H628/H612)*AC60</f>
        <v>104857.89335836319</v>
      </c>
      <c r="I694" s="180">
        <f>(I629/I612)*AC78</f>
        <v>21865.458029216545</v>
      </c>
      <c r="J694" s="180">
        <f>(J630/J612)*AC79</f>
        <v>0</v>
      </c>
      <c r="K694" s="180">
        <f>(K644/K612)*AC75</f>
        <v>1006933.8138811731</v>
      </c>
      <c r="L694" s="180">
        <f>(L647/L612)*AC80</f>
        <v>496.07601508467815</v>
      </c>
      <c r="M694" s="180">
        <f t="shared" si="21"/>
        <v>1444750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6331645.6100000013</v>
      </c>
      <c r="D696" s="180">
        <f>(D615/D612)*AE76</f>
        <v>410312.99474990525</v>
      </c>
      <c r="E696" s="180">
        <f>(E623/E612)*SUM(C696:D696)</f>
        <v>411267.51775155216</v>
      </c>
      <c r="F696" s="180">
        <f>(F624/F612)*AE64</f>
        <v>2513.7603025806375</v>
      </c>
      <c r="G696" s="180">
        <f>(G625/G612)*AE77</f>
        <v>0</v>
      </c>
      <c r="H696" s="180">
        <f>(H628/H612)*AE60</f>
        <v>194043.7437573467</v>
      </c>
      <c r="I696" s="180">
        <f>(I629/I612)*AE78</f>
        <v>145239.64848497778</v>
      </c>
      <c r="J696" s="180">
        <f>(J630/J612)*AE79</f>
        <v>0</v>
      </c>
      <c r="K696" s="180">
        <f>(K644/K612)*AE75</f>
        <v>1443076.7133807049</v>
      </c>
      <c r="L696" s="180">
        <f>(L647/L612)*AE80</f>
        <v>0</v>
      </c>
      <c r="M696" s="180">
        <f t="shared" si="21"/>
        <v>2606454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16616042.75</v>
      </c>
      <c r="D698" s="180">
        <f>(D615/D612)*AG76</f>
        <v>1308988.556169522</v>
      </c>
      <c r="E698" s="180">
        <f>(E623/E612)*SUM(C698:D698)</f>
        <v>1093448.2934548759</v>
      </c>
      <c r="F698" s="180">
        <f>(F624/F612)*AG64</f>
        <v>51790.09673745172</v>
      </c>
      <c r="G698" s="180">
        <f>(G625/G612)*AG77</f>
        <v>0</v>
      </c>
      <c r="H698" s="180">
        <f>(H628/H612)*AG60</f>
        <v>384646.93364025117</v>
      </c>
      <c r="I698" s="180">
        <f>(I629/I612)*AG78</f>
        <v>456192.96524592699</v>
      </c>
      <c r="J698" s="180">
        <f>(J630/J612)*AG79</f>
        <v>82031.116553480751</v>
      </c>
      <c r="K698" s="180">
        <f>(K644/K612)*AG75</f>
        <v>7323958.1617558934</v>
      </c>
      <c r="L698" s="180">
        <f>(L647/L612)*AG80</f>
        <v>748787.5988291885</v>
      </c>
      <c r="M698" s="180">
        <f t="shared" si="21"/>
        <v>11449844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89150309.269999981</v>
      </c>
      <c r="D701" s="180">
        <f>(D615/D612)*AJ76</f>
        <v>3438579.3279820411</v>
      </c>
      <c r="E701" s="180">
        <f>(E623/E612)*SUM(C701:D701)</f>
        <v>5648032.6589723388</v>
      </c>
      <c r="F701" s="180">
        <f>(F624/F612)*AJ64</f>
        <v>174569.14860069304</v>
      </c>
      <c r="G701" s="180">
        <f>(G625/G612)*AJ77</f>
        <v>0</v>
      </c>
      <c r="H701" s="180">
        <f>(H628/H612)*AJ60</f>
        <v>1652860.2099179884</v>
      </c>
      <c r="I701" s="180">
        <f>(I629/I612)*AJ78</f>
        <v>1198425.8768922414</v>
      </c>
      <c r="J701" s="180">
        <f>(J630/J612)*AJ79</f>
        <v>17004.964028867707</v>
      </c>
      <c r="K701" s="180">
        <f>(K644/K612)*AJ75</f>
        <v>8325212.7070335913</v>
      </c>
      <c r="L701" s="180">
        <f>(L647/L612)*AJ80</f>
        <v>575989.79585005436</v>
      </c>
      <c r="M701" s="180">
        <f t="shared" si="21"/>
        <v>21030675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73089663.260000005</v>
      </c>
      <c r="D707" s="180">
        <f>(D615/D612)*AP76</f>
        <v>1092836.6500181728</v>
      </c>
      <c r="E707" s="180">
        <f>(E623/E612)*SUM(C707:D707)</f>
        <v>4525220.9909897009</v>
      </c>
      <c r="F707" s="180">
        <f>(F624/F612)*AP64</f>
        <v>186309.96328721519</v>
      </c>
      <c r="G707" s="180">
        <f>(G625/G612)*AP77</f>
        <v>0</v>
      </c>
      <c r="H707" s="180">
        <f>(H628/H612)*AP60</f>
        <v>1373384.8927375248</v>
      </c>
      <c r="I707" s="180">
        <f>(I629/I612)*AP78</f>
        <v>380856.52349071729</v>
      </c>
      <c r="J707" s="180">
        <f>(J630/J612)*AP79</f>
        <v>0</v>
      </c>
      <c r="K707" s="180">
        <f>(K644/K612)*AP75</f>
        <v>5622302.5463975864</v>
      </c>
      <c r="L707" s="180">
        <f>(L647/L612)*AP80</f>
        <v>168013.81077452225</v>
      </c>
      <c r="M707" s="180">
        <f t="shared" si="21"/>
        <v>13348925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65774180.809999995</v>
      </c>
      <c r="D709" s="180">
        <f>(D615/D612)*AR76</f>
        <v>0</v>
      </c>
      <c r="E709" s="180">
        <f>(E623/E612)*SUM(C709:D709)</f>
        <v>4012303.4951315788</v>
      </c>
      <c r="F709" s="180">
        <f>(F624/F612)*AR64</f>
        <v>120891.64645703493</v>
      </c>
      <c r="G709" s="180">
        <f>(G625/G612)*AR77</f>
        <v>0</v>
      </c>
      <c r="H709" s="180">
        <f>(H628/H612)*AR60</f>
        <v>1606523.3708694037</v>
      </c>
      <c r="I709" s="180">
        <f>(I629/I612)*AR78</f>
        <v>0</v>
      </c>
      <c r="J709" s="180">
        <f>(J630/J612)*AR79</f>
        <v>0</v>
      </c>
      <c r="K709" s="180">
        <f>(K644/K612)*AR75</f>
        <v>6447832.4347137986</v>
      </c>
      <c r="L709" s="180">
        <f>(L647/L612)*AR80</f>
        <v>1964649.3296220833</v>
      </c>
      <c r="M709" s="180">
        <f t="shared" si="21"/>
        <v>14152200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3680391.3200000012</v>
      </c>
      <c r="D713" s="180">
        <f>(D615/D612)*AV76</f>
        <v>312269.60924966715</v>
      </c>
      <c r="E713" s="180">
        <f>(E623/E612)*SUM(C713:D713)</f>
        <v>243557.0797541301</v>
      </c>
      <c r="F713" s="180">
        <f>(F624/F612)*AV64</f>
        <v>215785.88853242982</v>
      </c>
      <c r="G713" s="180">
        <f>(G625/G612)*AV77</f>
        <v>0</v>
      </c>
      <c r="H713" s="180">
        <f>(H628/H612)*AV60</f>
        <v>81062.841791520274</v>
      </c>
      <c r="I713" s="180">
        <f>(I629/I612)*AV78</f>
        <v>108797.21843628354</v>
      </c>
      <c r="J713" s="180">
        <f>(J630/J612)*AV79</f>
        <v>8720.3682337888604</v>
      </c>
      <c r="K713" s="180">
        <f>(K644/K612)*AV75</f>
        <v>505862.11203852232</v>
      </c>
      <c r="L713" s="180">
        <f>(L647/L612)*AV80</f>
        <v>898166.11083381658</v>
      </c>
      <c r="M713" s="180">
        <f t="shared" si="21"/>
        <v>2374221</v>
      </c>
      <c r="N713" s="199" t="s">
        <v>741</v>
      </c>
    </row>
    <row r="715" spans="1:83" ht="12.65" customHeight="1" x14ac:dyDescent="0.35">
      <c r="C715" s="180">
        <f>SUM(C614:C647)+SUM(C668:C713)</f>
        <v>706851682.63999999</v>
      </c>
      <c r="D715" s="180">
        <f>SUM(D616:D647)+SUM(D668:D713)</f>
        <v>22017182.759999998</v>
      </c>
      <c r="E715" s="180">
        <f>SUM(E624:E647)+SUM(E668:E713)</f>
        <v>40639724.225046873</v>
      </c>
      <c r="F715" s="180">
        <f>SUM(F625:F648)+SUM(F668:F713)</f>
        <v>3609113.8894991986</v>
      </c>
      <c r="G715" s="180">
        <f>SUM(G626:G647)+SUM(G668:G713)</f>
        <v>0</v>
      </c>
      <c r="H715" s="180">
        <f>SUM(H629:H647)+SUM(H668:H713)</f>
        <v>12472418.219187122</v>
      </c>
      <c r="I715" s="180">
        <f>SUM(I630:I647)+SUM(I668:I713)</f>
        <v>6953679.4660369363</v>
      </c>
      <c r="J715" s="180">
        <f>SUM(J631:J647)+SUM(J668:J713)</f>
        <v>531240.09759895166</v>
      </c>
      <c r="K715" s="180">
        <f>SUM(K668:K713)</f>
        <v>94533261.123110011</v>
      </c>
      <c r="L715" s="180">
        <f>SUM(L668:L713)</f>
        <v>11148182.775743116</v>
      </c>
      <c r="M715" s="180">
        <f>SUM(M668:M713)</f>
        <v>176081019</v>
      </c>
      <c r="N715" s="198" t="s">
        <v>742</v>
      </c>
    </row>
    <row r="716" spans="1:83" ht="12.65" customHeight="1" x14ac:dyDescent="0.35">
      <c r="C716" s="180">
        <f>CE71</f>
        <v>706851682.64000022</v>
      </c>
      <c r="D716" s="180">
        <f>D615</f>
        <v>22017182.759999998</v>
      </c>
      <c r="E716" s="180">
        <f>E623</f>
        <v>40639724.225046888</v>
      </c>
      <c r="F716" s="180">
        <f>F624</f>
        <v>3609113.8894991991</v>
      </c>
      <c r="G716" s="180">
        <f>G625</f>
        <v>0</v>
      </c>
      <c r="H716" s="180">
        <f>H628</f>
        <v>12472418.219187126</v>
      </c>
      <c r="I716" s="180">
        <f>I629</f>
        <v>6953679.4660369363</v>
      </c>
      <c r="J716" s="180">
        <f>J630</f>
        <v>531240.09759895154</v>
      </c>
      <c r="K716" s="180">
        <f>K644</f>
        <v>94533261.123110041</v>
      </c>
      <c r="L716" s="180">
        <f>L647</f>
        <v>11148182.775743116</v>
      </c>
      <c r="M716" s="180">
        <f>C648</f>
        <v>176081018.77999997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164*2020*A</v>
      </c>
      <c r="B722" s="276">
        <f>ROUND(C165,0)</f>
        <v>25386270</v>
      </c>
      <c r="C722" s="276">
        <f>ROUND(C166,0)</f>
        <v>1298310</v>
      </c>
      <c r="D722" s="276">
        <f>ROUND(C167,0)</f>
        <v>2638618</v>
      </c>
      <c r="E722" s="276">
        <f>ROUND(C168,0)</f>
        <v>40248712</v>
      </c>
      <c r="F722" s="276">
        <f>ROUND(C169,0)</f>
        <v>203216</v>
      </c>
      <c r="G722" s="276">
        <f>ROUND(C170,0)</f>
        <v>19533469</v>
      </c>
      <c r="H722" s="276">
        <f>ROUND(C171+C172,0)</f>
        <v>3190480</v>
      </c>
      <c r="I722" s="276">
        <f>ROUND(C175,0)</f>
        <v>12517188</v>
      </c>
      <c r="J722" s="276">
        <f>ROUND(C176,0)</f>
        <v>2946918</v>
      </c>
      <c r="K722" s="276">
        <f>ROUND(C179,0)</f>
        <v>1393996</v>
      </c>
      <c r="L722" s="276">
        <f>ROUND(C180,0)</f>
        <v>1383198</v>
      </c>
      <c r="M722" s="276">
        <f>ROUND(C183,0)</f>
        <v>403403</v>
      </c>
      <c r="N722" s="276">
        <f>ROUND(C184,0)</f>
        <v>6687513</v>
      </c>
      <c r="O722" s="276">
        <f>ROUND(C185,0)</f>
        <v>0</v>
      </c>
      <c r="P722" s="276">
        <f>ROUND(C188,0)</f>
        <v>9105986</v>
      </c>
      <c r="Q722" s="276">
        <f>ROUND(C189,0)</f>
        <v>0</v>
      </c>
      <c r="R722" s="276">
        <f>ROUND(B195,0)</f>
        <v>4913660</v>
      </c>
      <c r="S722" s="276">
        <f>ROUND(C195,0)</f>
        <v>0</v>
      </c>
      <c r="T722" s="276">
        <f>ROUND(D195,0)</f>
        <v>0</v>
      </c>
      <c r="U722" s="276">
        <f>ROUND(B196,0)</f>
        <v>13718296</v>
      </c>
      <c r="V722" s="276">
        <f>ROUND(C196,0)</f>
        <v>0</v>
      </c>
      <c r="W722" s="276">
        <f>ROUND(D196,0)</f>
        <v>594384</v>
      </c>
      <c r="X722" s="276">
        <f>ROUND(B197,0)</f>
        <v>336138182</v>
      </c>
      <c r="Y722" s="276">
        <f>ROUND(C197,0)</f>
        <v>4238176</v>
      </c>
      <c r="Z722" s="276">
        <f>ROUND(D197,0)</f>
        <v>0</v>
      </c>
      <c r="AA722" s="276">
        <f>ROUND(B198,0)</f>
        <v>127496858</v>
      </c>
      <c r="AB722" s="276">
        <f>ROUND(C198,0)</f>
        <v>2784576</v>
      </c>
      <c r="AC722" s="276">
        <f>ROUND(D198,0)</f>
        <v>1874</v>
      </c>
      <c r="AD722" s="276">
        <f>ROUND(B199,0)</f>
        <v>50609</v>
      </c>
      <c r="AE722" s="276">
        <f>ROUND(C199,0)</f>
        <v>0</v>
      </c>
      <c r="AF722" s="276">
        <f>ROUND(D199,0)</f>
        <v>27486</v>
      </c>
      <c r="AG722" s="276">
        <f>ROUND(B200,0)</f>
        <v>297478484</v>
      </c>
      <c r="AH722" s="276">
        <f>ROUND(C200,0)</f>
        <v>18248091</v>
      </c>
      <c r="AI722" s="276">
        <f>ROUND(D200,0)</f>
        <v>14623251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38462716</v>
      </c>
      <c r="AN722" s="276">
        <f>ROUND(C202,0)</f>
        <v>1477906</v>
      </c>
      <c r="AO722" s="276">
        <f>ROUND(D202,0)</f>
        <v>0</v>
      </c>
      <c r="AP722" s="276">
        <f>ROUND(B203,0)</f>
        <v>25691087</v>
      </c>
      <c r="AQ722" s="276">
        <f>ROUND(C203,0)</f>
        <v>24995417</v>
      </c>
      <c r="AR722" s="276">
        <f>ROUND(D203,0)</f>
        <v>26112651</v>
      </c>
      <c r="AS722" s="276"/>
      <c r="AT722" s="276"/>
      <c r="AU722" s="276"/>
      <c r="AV722" s="276">
        <f>ROUND(B209,0)</f>
        <v>11543030</v>
      </c>
      <c r="AW722" s="276">
        <f>ROUND(C209,0)</f>
        <v>359409</v>
      </c>
      <c r="AX722" s="276">
        <f>ROUND(D209,0)</f>
        <v>594384</v>
      </c>
      <c r="AY722" s="276">
        <f>ROUND(B210,0)</f>
        <v>171122096</v>
      </c>
      <c r="AZ722" s="276">
        <f>ROUND(C210,0)</f>
        <v>11338083</v>
      </c>
      <c r="BA722" s="276">
        <f>ROUND(D210,0)</f>
        <v>0</v>
      </c>
      <c r="BB722" s="276">
        <f>ROUND(B211,0)</f>
        <v>91988697</v>
      </c>
      <c r="BC722" s="276">
        <f>ROUND(C211,0)</f>
        <v>4267676</v>
      </c>
      <c r="BD722" s="276">
        <f>ROUND(D211,0)</f>
        <v>1874</v>
      </c>
      <c r="BE722" s="276">
        <f>ROUND(B212,0)</f>
        <v>47807</v>
      </c>
      <c r="BF722" s="276">
        <f>ROUND(C212,0)</f>
        <v>947</v>
      </c>
      <c r="BG722" s="276">
        <f>ROUND(D212,0)</f>
        <v>27486</v>
      </c>
      <c r="BH722" s="276">
        <f>ROUND(B213,0)</f>
        <v>226932187</v>
      </c>
      <c r="BI722" s="276">
        <f>ROUND(C213,0)</f>
        <v>17854953</v>
      </c>
      <c r="BJ722" s="276">
        <f>ROUND(D213,0)</f>
        <v>14623251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21487265</v>
      </c>
      <c r="BO722" s="276">
        <f>ROUND(C215,0)</f>
        <v>2482053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591409889</v>
      </c>
      <c r="BU722" s="276">
        <f>ROUND(C224,0)</f>
        <v>134379928</v>
      </c>
      <c r="BV722" s="276">
        <f>ROUND(C225,0)</f>
        <v>8744407</v>
      </c>
      <c r="BW722" s="276">
        <f>ROUND(C226,0)</f>
        <v>6818196</v>
      </c>
      <c r="BX722" s="276">
        <f>ROUND(C227,0)</f>
        <v>470314582</v>
      </c>
      <c r="BY722" s="276">
        <f>ROUND(C228,0)</f>
        <v>382577</v>
      </c>
      <c r="BZ722" s="276">
        <f>ROUND(C231,0)</f>
        <v>3962</v>
      </c>
      <c r="CA722" s="276">
        <f>ROUND(C233,0)</f>
        <v>3489992</v>
      </c>
      <c r="CB722" s="276">
        <f>ROUND(C234,0)</f>
        <v>4753080</v>
      </c>
      <c r="CC722" s="276">
        <f>ROUND(C238+C239,0)</f>
        <v>5233395</v>
      </c>
      <c r="CD722" s="276">
        <f>D221</f>
        <v>14990941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164*2020*A</v>
      </c>
      <c r="B726" s="276">
        <f>ROUND(C111,0)</f>
        <v>13819</v>
      </c>
      <c r="C726" s="276">
        <f>ROUND(C112,0)</f>
        <v>0</v>
      </c>
      <c r="D726" s="276">
        <f>ROUND(C113,0)</f>
        <v>0</v>
      </c>
      <c r="E726" s="276">
        <f>ROUND(C114,0)</f>
        <v>4451</v>
      </c>
      <c r="F726" s="276">
        <f>ROUND(D111,0)</f>
        <v>61292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20</v>
      </c>
      <c r="K726" s="276">
        <f>ROUND(C117,0)</f>
        <v>31</v>
      </c>
      <c r="L726" s="276">
        <f>ROUND(C118,0)</f>
        <v>153</v>
      </c>
      <c r="M726" s="276">
        <f>ROUND(C119,0)</f>
        <v>1</v>
      </c>
      <c r="N726" s="276">
        <f>ROUND(C120,0)</f>
        <v>36</v>
      </c>
      <c r="O726" s="276">
        <f>ROUND(C121,0)</f>
        <v>14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41</v>
      </c>
      <c r="V726" s="276">
        <f>ROUND(C128,0)</f>
        <v>318</v>
      </c>
      <c r="W726" s="276">
        <f>ROUND(C129,0)</f>
        <v>0</v>
      </c>
      <c r="X726" s="276">
        <f>ROUND(B138,0)</f>
        <v>5284</v>
      </c>
      <c r="Y726" s="276">
        <f>ROUND(B139,0)</f>
        <v>36261</v>
      </c>
      <c r="Z726" s="276">
        <f>ROUND(B140,0)</f>
        <v>0</v>
      </c>
      <c r="AA726" s="276">
        <f>ROUND(B141,0)</f>
        <v>384217848</v>
      </c>
      <c r="AB726" s="276">
        <f>ROUND(B142,0)</f>
        <v>427887519</v>
      </c>
      <c r="AC726" s="276">
        <f>ROUND(C138,0)</f>
        <v>2335</v>
      </c>
      <c r="AD726" s="276">
        <f>ROUND(C139,0)</f>
        <v>10340</v>
      </c>
      <c r="AE726" s="276">
        <f>ROUND(C140,0)</f>
        <v>0</v>
      </c>
      <c r="AF726" s="276">
        <f>ROUND(C141,0)</f>
        <v>101925545</v>
      </c>
      <c r="AG726" s="276">
        <f>ROUND(C142,0)</f>
        <v>93151294</v>
      </c>
      <c r="AH726" s="276">
        <f>ROUND(D138,0)</f>
        <v>6200</v>
      </c>
      <c r="AI726" s="276">
        <f>ROUND(D139,0)</f>
        <v>14691</v>
      </c>
      <c r="AJ726" s="276">
        <f>ROUND(D140,0)</f>
        <v>0</v>
      </c>
      <c r="AK726" s="276">
        <f>ROUND(D141,0)</f>
        <v>320203861</v>
      </c>
      <c r="AL726" s="276">
        <f>ROUND(D142,0)</f>
        <v>577139349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6897598</v>
      </c>
      <c r="BR726" s="276">
        <f>ROUND(C157,0)</f>
        <v>15025519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164*2020*A</v>
      </c>
      <c r="B730" s="276">
        <f>ROUND(C250,0)</f>
        <v>83951383</v>
      </c>
      <c r="C730" s="276">
        <f>ROUND(C251,0)</f>
        <v>0</v>
      </c>
      <c r="D730" s="276">
        <f>ROUND(C252,0)</f>
        <v>272895317</v>
      </c>
      <c r="E730" s="276">
        <f>ROUND(C253,0)</f>
        <v>186599621</v>
      </c>
      <c r="F730" s="276">
        <f>ROUND(C254,0)</f>
        <v>2942452</v>
      </c>
      <c r="G730" s="276">
        <f>ROUND(C255,0)</f>
        <v>13937032</v>
      </c>
      <c r="H730" s="276">
        <f>ROUND(C256,0)</f>
        <v>1542955</v>
      </c>
      <c r="I730" s="276">
        <f>ROUND(C257,0)</f>
        <v>8920617</v>
      </c>
      <c r="J730" s="276">
        <f>ROUND(C258,0)</f>
        <v>10256205</v>
      </c>
      <c r="K730" s="276">
        <f>ROUND(C259,0)</f>
        <v>0</v>
      </c>
      <c r="L730" s="276">
        <f>ROUND(C262,0)</f>
        <v>307368753</v>
      </c>
      <c r="M730" s="276">
        <f>ROUND(C263,0)</f>
        <v>0</v>
      </c>
      <c r="N730" s="276">
        <f>ROUND(C264,0)</f>
        <v>0</v>
      </c>
      <c r="O730" s="276">
        <f>ROUND(C267,0)</f>
        <v>4913660</v>
      </c>
      <c r="P730" s="276">
        <f>ROUND(C268,0)</f>
        <v>13123911</v>
      </c>
      <c r="Q730" s="276">
        <f>ROUND(C269,0)</f>
        <v>340376358</v>
      </c>
      <c r="R730" s="276">
        <f>ROUND(C270,0)</f>
        <v>130279559</v>
      </c>
      <c r="S730" s="276">
        <f>ROUND(C271,0)</f>
        <v>23123</v>
      </c>
      <c r="T730" s="276">
        <f>ROUND(C272,0)</f>
        <v>301103323</v>
      </c>
      <c r="U730" s="276">
        <f>ROUND(C273,0)</f>
        <v>39940622</v>
      </c>
      <c r="V730" s="276">
        <f>ROUND(C274,0)</f>
        <v>24573853</v>
      </c>
      <c r="W730" s="276">
        <f>ROUND(C275,0)</f>
        <v>0</v>
      </c>
      <c r="X730" s="276">
        <f>ROUND(C276,0)</f>
        <v>544177205</v>
      </c>
      <c r="Y730" s="276">
        <f>ROUND(C279,0)</f>
        <v>0</v>
      </c>
      <c r="Z730" s="276">
        <f>ROUND(C280,0)</f>
        <v>0</v>
      </c>
      <c r="AA730" s="276">
        <f>ROUND(C281,0)</f>
        <v>7771982</v>
      </c>
      <c r="AB730" s="276">
        <f>ROUND(C282,0)</f>
        <v>3770671</v>
      </c>
      <c r="AC730" s="276">
        <f>ROUND(C286,0)</f>
        <v>25055732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31037724</v>
      </c>
      <c r="AI730" s="276">
        <f>ROUND(C306,0)</f>
        <v>46799779</v>
      </c>
      <c r="AJ730" s="276">
        <f>ROUND(C307,0)</f>
        <v>802142</v>
      </c>
      <c r="AK730" s="276">
        <f>ROUND(C308,0)</f>
        <v>0</v>
      </c>
      <c r="AL730" s="276">
        <f>ROUND(C309,0)</f>
        <v>6069564</v>
      </c>
      <c r="AM730" s="276">
        <f>ROUND(C310,0)</f>
        <v>0</v>
      </c>
      <c r="AN730" s="276">
        <f>ROUND(C311,0)</f>
        <v>0</v>
      </c>
      <c r="AO730" s="276">
        <f>ROUND(C312,0)</f>
        <v>1222842</v>
      </c>
      <c r="AP730" s="276">
        <f>ROUND(C313,0)</f>
        <v>14470232</v>
      </c>
      <c r="AQ730" s="276">
        <f>ROUND(C316,0)</f>
        <v>0</v>
      </c>
      <c r="AR730" s="276">
        <f>ROUND(C317,0)</f>
        <v>14310623</v>
      </c>
      <c r="AS730" s="276">
        <f>ROUND(C318,0)</f>
        <v>384874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7788078</v>
      </c>
      <c r="AX730" s="276">
        <f>ROUND(C325,0)</f>
        <v>269261609</v>
      </c>
      <c r="AY730" s="276">
        <f>ROUND(C326,0)</f>
        <v>0</v>
      </c>
      <c r="AZ730" s="276">
        <f>ROUND(C327,0)</f>
        <v>43605100</v>
      </c>
      <c r="BA730" s="276">
        <f>ROUND(C328,0)</f>
        <v>0</v>
      </c>
      <c r="BB730" s="276">
        <f>ROUND(C332,0)</f>
        <v>440688347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3776.92</v>
      </c>
      <c r="BJ730" s="276">
        <f>ROUND(C359,0)</f>
        <v>806347253</v>
      </c>
      <c r="BK730" s="276">
        <f>ROUND(C360,0)</f>
        <v>1098178162</v>
      </c>
      <c r="BL730" s="276">
        <f>ROUND(C364,0)</f>
        <v>1212049579</v>
      </c>
      <c r="BM730" s="276">
        <f>ROUND(C365,0)</f>
        <v>8243073</v>
      </c>
      <c r="BN730" s="276">
        <f>ROUND(C366,0)</f>
        <v>5233395</v>
      </c>
      <c r="BO730" s="276">
        <f>ROUND(C370,0)</f>
        <v>47001114</v>
      </c>
      <c r="BP730" s="276">
        <f>ROUND(C371,0)</f>
        <v>27871776</v>
      </c>
      <c r="BQ730" s="276">
        <f>ROUND(C378,0)</f>
        <v>396802109</v>
      </c>
      <c r="BR730" s="276">
        <f>ROUND(C379,0)</f>
        <v>92499075</v>
      </c>
      <c r="BS730" s="276">
        <f>ROUND(C380,0)</f>
        <v>18767520</v>
      </c>
      <c r="BT730" s="276">
        <f>ROUND(C381,0)</f>
        <v>104115544</v>
      </c>
      <c r="BU730" s="276">
        <f>ROUND(C382,0)</f>
        <v>6254681</v>
      </c>
      <c r="BV730" s="276">
        <f>ROUND(C383,0)</f>
        <v>64724254</v>
      </c>
      <c r="BW730" s="276">
        <f>ROUND(C384,0)</f>
        <v>35828141</v>
      </c>
      <c r="BX730" s="276">
        <f>ROUND(C385,0)</f>
        <v>15464106</v>
      </c>
      <c r="BY730" s="276">
        <f>ROUND(C386,0)</f>
        <v>2777194</v>
      </c>
      <c r="BZ730" s="276">
        <f>ROUND(C387,0)</f>
        <v>7090917</v>
      </c>
      <c r="CA730" s="276">
        <f>ROUND(C388,0)</f>
        <v>9105986</v>
      </c>
      <c r="CB730" s="276">
        <f>C363</f>
        <v>14990941</v>
      </c>
      <c r="CC730" s="276">
        <f>ROUND(C389,0)</f>
        <v>9528965</v>
      </c>
      <c r="CD730" s="276">
        <f>ROUND(C392,0)</f>
        <v>47068467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164*2020*6010*A</v>
      </c>
      <c r="B734" s="276">
        <f>ROUND(C59,0)</f>
        <v>4944</v>
      </c>
      <c r="C734" s="276">
        <f>ROUND(C60,2)</f>
        <v>139.13</v>
      </c>
      <c r="D734" s="276">
        <f>ROUND(C61,0)</f>
        <v>15198529</v>
      </c>
      <c r="E734" s="276">
        <f>ROUND(C62,0)</f>
        <v>3288103</v>
      </c>
      <c r="F734" s="276">
        <f>ROUND(C63,0)</f>
        <v>669120</v>
      </c>
      <c r="G734" s="276">
        <f>ROUND(C64,0)</f>
        <v>1542863</v>
      </c>
      <c r="H734" s="276">
        <f>ROUND(C65,0)</f>
        <v>5294</v>
      </c>
      <c r="I734" s="276">
        <f>ROUND(C66,0)</f>
        <v>464655</v>
      </c>
      <c r="J734" s="276">
        <f>ROUND(C67,0)</f>
        <v>368069</v>
      </c>
      <c r="K734" s="276">
        <f>ROUND(C68,0)</f>
        <v>0</v>
      </c>
      <c r="L734" s="276">
        <f>ROUND(C69,0)</f>
        <v>37149</v>
      </c>
      <c r="M734" s="276">
        <f>ROUND(C70,0)</f>
        <v>21236</v>
      </c>
      <c r="N734" s="276">
        <f>ROUND(C75,0)</f>
        <v>77532563</v>
      </c>
      <c r="O734" s="276">
        <f>ROUND(C73,0)</f>
        <v>77609528</v>
      </c>
      <c r="P734" s="276">
        <f>IF(C76&gt;0,ROUND(C76,0),0)</f>
        <v>31983</v>
      </c>
      <c r="Q734" s="276">
        <f>IF(C77&gt;0,ROUND(C77,0),0)</f>
        <v>8550</v>
      </c>
      <c r="R734" s="276">
        <f>IF(C78&gt;0,ROUND(C78,0),0)</f>
        <v>3999</v>
      </c>
      <c r="S734" s="276">
        <f>IF(C79&gt;0,ROUND(C79,0),0)</f>
        <v>204433</v>
      </c>
      <c r="T734" s="276">
        <f>IF(C80&gt;0,ROUND(C80,2),0)</f>
        <v>98.29</v>
      </c>
      <c r="U734" s="276"/>
      <c r="V734" s="276"/>
      <c r="W734" s="276"/>
      <c r="X734" s="276"/>
      <c r="Y734" s="276">
        <f>IF(M668&lt;&gt;0,ROUND(M668,0),0)</f>
        <v>8009413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164*2020*6030*A</v>
      </c>
      <c r="B735" s="276">
        <f>ROUND(D59,0)</f>
        <v>8914</v>
      </c>
      <c r="C735" s="278">
        <f>ROUND(D60,2)</f>
        <v>63.86</v>
      </c>
      <c r="D735" s="276">
        <f>ROUND(D61,0)</f>
        <v>6456943</v>
      </c>
      <c r="E735" s="276">
        <f>ROUND(D62,0)</f>
        <v>1600619</v>
      </c>
      <c r="F735" s="276">
        <f>ROUND(D63,0)</f>
        <v>0</v>
      </c>
      <c r="G735" s="276">
        <f>ROUND(D64,0)</f>
        <v>624556</v>
      </c>
      <c r="H735" s="276">
        <f>ROUND(D65,0)</f>
        <v>0</v>
      </c>
      <c r="I735" s="276">
        <f>ROUND(D66,0)</f>
        <v>287359</v>
      </c>
      <c r="J735" s="276">
        <f>ROUND(D67,0)</f>
        <v>1567884</v>
      </c>
      <c r="K735" s="276">
        <f>ROUND(D68,0)</f>
        <v>0</v>
      </c>
      <c r="L735" s="276">
        <f>ROUND(D69,0)</f>
        <v>2380</v>
      </c>
      <c r="M735" s="276">
        <f>ROUND(D70,0)</f>
        <v>0</v>
      </c>
      <c r="N735" s="276">
        <f>ROUND(D75,0)</f>
        <v>44350291</v>
      </c>
      <c r="O735" s="276">
        <f>ROUND(D73,0)</f>
        <v>44221973</v>
      </c>
      <c r="P735" s="276">
        <f>IF(D76&gt;0,ROUND(D76,0),0)</f>
        <v>24368</v>
      </c>
      <c r="Q735" s="276">
        <f>IF(D77&gt;0,ROUND(D77,0),0)</f>
        <v>25907</v>
      </c>
      <c r="R735" s="276">
        <f>IF(D78&gt;0,ROUND(D78,0),0)</f>
        <v>3047</v>
      </c>
      <c r="S735" s="276">
        <f>IF(D79&gt;0,ROUND(D79,0),0)</f>
        <v>203210</v>
      </c>
      <c r="T735" s="278">
        <f>IF(D80&gt;0,ROUND(D80,2),0)</f>
        <v>41.48</v>
      </c>
      <c r="U735" s="276"/>
      <c r="V735" s="277"/>
      <c r="W735" s="276"/>
      <c r="X735" s="276"/>
      <c r="Y735" s="276">
        <f t="shared" ref="Y735:Y779" si="22">IF(M669&lt;&gt;0,ROUND(M669,0),0)</f>
        <v>4453842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164*2020*6070*A</v>
      </c>
      <c r="B736" s="276">
        <f>ROUND(E59,0)</f>
        <v>37724</v>
      </c>
      <c r="C736" s="278">
        <f>ROUND(E60,2)</f>
        <v>268.37</v>
      </c>
      <c r="D736" s="276">
        <f>ROUND(E61,0)</f>
        <v>23847928</v>
      </c>
      <c r="E736" s="276">
        <f>ROUND(E62,0)</f>
        <v>5156004</v>
      </c>
      <c r="F736" s="276">
        <f>ROUND(E63,0)</f>
        <v>0</v>
      </c>
      <c r="G736" s="276">
        <f>ROUND(E64,0)</f>
        <v>1805062</v>
      </c>
      <c r="H736" s="276">
        <f>ROUND(E65,0)</f>
        <v>0</v>
      </c>
      <c r="I736" s="276">
        <f>ROUND(E66,0)</f>
        <v>845728</v>
      </c>
      <c r="J736" s="276">
        <f>ROUND(E67,0)</f>
        <v>2298276</v>
      </c>
      <c r="K736" s="276">
        <f>ROUND(E68,0)</f>
        <v>0</v>
      </c>
      <c r="L736" s="276">
        <f>ROUND(E69,0)</f>
        <v>5684</v>
      </c>
      <c r="M736" s="276">
        <f>ROUND(E70,0)</f>
        <v>50</v>
      </c>
      <c r="N736" s="276">
        <f>ROUND(E75,0)</f>
        <v>133342658</v>
      </c>
      <c r="O736" s="276">
        <f>ROUND(E73,0)</f>
        <v>130300490</v>
      </c>
      <c r="P736" s="276">
        <f>IF(E76&gt;0,ROUND(E76,0),0)</f>
        <v>112482</v>
      </c>
      <c r="Q736" s="276">
        <f>IF(E77&gt;0,ROUND(E77,0),0)</f>
        <v>112918</v>
      </c>
      <c r="R736" s="276">
        <f>IF(E78&gt;0,ROUND(E78,0),0)</f>
        <v>14066</v>
      </c>
      <c r="S736" s="276">
        <f>IF(E79&gt;0,ROUND(E79,0),0)</f>
        <v>551206</v>
      </c>
      <c r="T736" s="278">
        <f>IF(E80&gt;0,ROUND(E80,2),0)</f>
        <v>164.66</v>
      </c>
      <c r="U736" s="276"/>
      <c r="V736" s="277"/>
      <c r="W736" s="276"/>
      <c r="X736" s="276"/>
      <c r="Y736" s="276">
        <f t="shared" si="22"/>
        <v>15580859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164*2020*6100*A</v>
      </c>
      <c r="B737" s="276">
        <f>ROUND(F59,0)</f>
        <v>0</v>
      </c>
      <c r="C737" s="278">
        <f>ROUND(F60,2)</f>
        <v>6.63</v>
      </c>
      <c r="D737" s="276">
        <f>ROUND(F61,0)</f>
        <v>646662</v>
      </c>
      <c r="E737" s="276">
        <f>ROUND(F62,0)</f>
        <v>165642</v>
      </c>
      <c r="F737" s="276">
        <f>ROUND(F63,0)</f>
        <v>0</v>
      </c>
      <c r="G737" s="276">
        <f>ROUND(F64,0)</f>
        <v>24939</v>
      </c>
      <c r="H737" s="276">
        <f>ROUND(F65,0)</f>
        <v>0</v>
      </c>
      <c r="I737" s="276">
        <f>ROUND(F66,0)</f>
        <v>1524</v>
      </c>
      <c r="J737" s="276">
        <f>ROUND(F67,0)</f>
        <v>0</v>
      </c>
      <c r="K737" s="276">
        <f>ROUND(F68,0)</f>
        <v>0</v>
      </c>
      <c r="L737" s="276">
        <f>ROUND(F69,0)</f>
        <v>40291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0.15</v>
      </c>
      <c r="U737" s="276"/>
      <c r="V737" s="277"/>
      <c r="W737" s="276"/>
      <c r="X737" s="276"/>
      <c r="Y737" s="276">
        <f t="shared" si="22"/>
        <v>80566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164*2020*6120*A</v>
      </c>
      <c r="B738" s="276">
        <f>ROUND(G59,0)</f>
        <v>3434</v>
      </c>
      <c r="C738" s="278">
        <f>ROUND(G60,2)</f>
        <v>17.36</v>
      </c>
      <c r="D738" s="276">
        <f>ROUND(G61,0)</f>
        <v>1783726</v>
      </c>
      <c r="E738" s="276">
        <f>ROUND(G62,0)</f>
        <v>477339</v>
      </c>
      <c r="F738" s="276">
        <f>ROUND(G63,0)</f>
        <v>0</v>
      </c>
      <c r="G738" s="276">
        <f>ROUND(G64,0)</f>
        <v>82098</v>
      </c>
      <c r="H738" s="276">
        <f>ROUND(G65,0)</f>
        <v>0</v>
      </c>
      <c r="I738" s="276">
        <f>ROUND(G66,0)</f>
        <v>27045</v>
      </c>
      <c r="J738" s="276">
        <f>ROUND(G67,0)</f>
        <v>101731</v>
      </c>
      <c r="K738" s="276">
        <f>ROUND(G68,0)</f>
        <v>0</v>
      </c>
      <c r="L738" s="276">
        <f>ROUND(G69,0)</f>
        <v>10122</v>
      </c>
      <c r="M738" s="276">
        <f>ROUND(G70,0)</f>
        <v>0</v>
      </c>
      <c r="N738" s="276">
        <f>ROUND(G75,0)</f>
        <v>14206444</v>
      </c>
      <c r="O738" s="276">
        <f>ROUND(G73,0)</f>
        <v>14206444</v>
      </c>
      <c r="P738" s="276">
        <f>IF(G76&gt;0,ROUND(G76,0),0)</f>
        <v>9095</v>
      </c>
      <c r="Q738" s="276">
        <f>IF(G77&gt;0,ROUND(G77,0),0)</f>
        <v>10223</v>
      </c>
      <c r="R738" s="276">
        <f>IF(G78&gt;0,ROUND(G78,0),0)</f>
        <v>1137</v>
      </c>
      <c r="S738" s="276">
        <f>IF(G79&gt;0,ROUND(G79,0),0)</f>
        <v>37966</v>
      </c>
      <c r="T738" s="278">
        <f>IF(G80&gt;0,ROUND(G80,2),0)</f>
        <v>11</v>
      </c>
      <c r="U738" s="276"/>
      <c r="V738" s="277"/>
      <c r="W738" s="276"/>
      <c r="X738" s="276"/>
      <c r="Y738" s="276">
        <f t="shared" si="22"/>
        <v>1366671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164*2020*6140*A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164*2020*6150*A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164*2020*6170*A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164*2020*6200*A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164*2020*6210*A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164*2020*6330*A</v>
      </c>
      <c r="B744" s="276">
        <f>ROUND(M59,0)</f>
        <v>3836</v>
      </c>
      <c r="C744" s="278">
        <f>ROUND(M60,2)</f>
        <v>47.76</v>
      </c>
      <c r="D744" s="276">
        <f>ROUND(M61,0)</f>
        <v>4934914</v>
      </c>
      <c r="E744" s="276">
        <f>ROUND(M62,0)</f>
        <v>1252729</v>
      </c>
      <c r="F744" s="276">
        <f>ROUND(M63,0)</f>
        <v>5012</v>
      </c>
      <c r="G744" s="276">
        <f>ROUND(M64,0)</f>
        <v>137589</v>
      </c>
      <c r="H744" s="276">
        <f>ROUND(M65,0)</f>
        <v>7687</v>
      </c>
      <c r="I744" s="276">
        <f>ROUND(M66,0)</f>
        <v>125414</v>
      </c>
      <c r="J744" s="276">
        <f>ROUND(M67,0)</f>
        <v>114442</v>
      </c>
      <c r="K744" s="276">
        <f>ROUND(M68,0)</f>
        <v>72192</v>
      </c>
      <c r="L744" s="276">
        <f>ROUND(M69,0)</f>
        <v>45408</v>
      </c>
      <c r="M744" s="276">
        <f>ROUND(M70,0)</f>
        <v>207292</v>
      </c>
      <c r="N744" s="276">
        <f>ROUND(M75,0)</f>
        <v>6660313</v>
      </c>
      <c r="O744" s="276">
        <f>ROUND(M73,0)</f>
        <v>6426244</v>
      </c>
      <c r="P744" s="276">
        <f>IF(M76&gt;0,ROUND(M76,0),0)</f>
        <v>20520</v>
      </c>
      <c r="Q744" s="276">
        <f>IF(M77&gt;0,ROUND(M77,0),0)</f>
        <v>5212</v>
      </c>
      <c r="R744" s="276">
        <f>IF(M78&gt;0,ROUND(M78,0),0)</f>
        <v>2566</v>
      </c>
      <c r="S744" s="276">
        <f>IF(M79&gt;0,ROUND(M79,0),0)</f>
        <v>26676</v>
      </c>
      <c r="T744" s="278">
        <f>IF(M80&gt;0,ROUND(M80,2),0)</f>
        <v>17.91</v>
      </c>
      <c r="U744" s="276"/>
      <c r="V744" s="277"/>
      <c r="W744" s="276"/>
      <c r="X744" s="276"/>
      <c r="Y744" s="276">
        <f t="shared" si="22"/>
        <v>1811936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164*2020*6400*A</v>
      </c>
      <c r="B745" s="276">
        <f>ROUND(N59,0)</f>
        <v>0</v>
      </c>
      <c r="C745" s="278">
        <f>ROUND(N60,2)</f>
        <v>47.49</v>
      </c>
      <c r="D745" s="276">
        <f>ROUND(N61,0)</f>
        <v>15000633</v>
      </c>
      <c r="E745" s="276">
        <f>ROUND(N62,0)</f>
        <v>2772752</v>
      </c>
      <c r="F745" s="276">
        <f>ROUND(N63,0)</f>
        <v>689212</v>
      </c>
      <c r="G745" s="276">
        <f>ROUND(N64,0)</f>
        <v>14873</v>
      </c>
      <c r="H745" s="276">
        <f>ROUND(N65,0)</f>
        <v>22653</v>
      </c>
      <c r="I745" s="276">
        <f>ROUND(N66,0)</f>
        <v>3255</v>
      </c>
      <c r="J745" s="276">
        <f>ROUND(N67,0)</f>
        <v>5655</v>
      </c>
      <c r="K745" s="276">
        <f>ROUND(N68,0)</f>
        <v>0</v>
      </c>
      <c r="L745" s="276">
        <f>ROUND(N69,0)</f>
        <v>139107</v>
      </c>
      <c r="M745" s="276">
        <f>ROUND(N70,0)</f>
        <v>430166</v>
      </c>
      <c r="N745" s="276">
        <f>ROUND(N75,0)</f>
        <v>18528067</v>
      </c>
      <c r="O745" s="276">
        <f>ROUND(N73,0)</f>
        <v>17470574</v>
      </c>
      <c r="P745" s="276">
        <f>IF(N76&gt;0,ROUND(N76,0),0)</f>
        <v>5055</v>
      </c>
      <c r="Q745" s="276">
        <f>IF(N77&gt;0,ROUND(N77,0),0)</f>
        <v>0</v>
      </c>
      <c r="R745" s="276">
        <f>IF(N78&gt;0,ROUND(N78,0),0)</f>
        <v>632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2374511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164*2020*7010*A</v>
      </c>
      <c r="B746" s="276">
        <f>ROUND(O59,0)</f>
        <v>4367</v>
      </c>
      <c r="C746" s="278">
        <f>ROUND(O60,2)</f>
        <v>169.88</v>
      </c>
      <c r="D746" s="276">
        <f>ROUND(O61,0)</f>
        <v>17505984</v>
      </c>
      <c r="E746" s="276">
        <f>ROUND(O62,0)</f>
        <v>4421023</v>
      </c>
      <c r="F746" s="276">
        <f>ROUND(O63,0)</f>
        <v>1512186</v>
      </c>
      <c r="G746" s="276">
        <f>ROUND(O64,0)</f>
        <v>1788199</v>
      </c>
      <c r="H746" s="276">
        <f>ROUND(O65,0)</f>
        <v>741</v>
      </c>
      <c r="I746" s="276">
        <f>ROUND(O66,0)</f>
        <v>235965</v>
      </c>
      <c r="J746" s="276">
        <f>ROUND(O67,0)</f>
        <v>770240</v>
      </c>
      <c r="K746" s="276">
        <f>ROUND(O68,0)</f>
        <v>0</v>
      </c>
      <c r="L746" s="276">
        <f>ROUND(O69,0)</f>
        <v>15721</v>
      </c>
      <c r="M746" s="276">
        <f>ROUND(O70,0)</f>
        <v>22321</v>
      </c>
      <c r="N746" s="276">
        <f>ROUND(O75,0)</f>
        <v>109010025</v>
      </c>
      <c r="O746" s="276">
        <f>ROUND(O73,0)</f>
        <v>104998532</v>
      </c>
      <c r="P746" s="276">
        <f>IF(O76&gt;0,ROUND(O76,0),0)</f>
        <v>54397</v>
      </c>
      <c r="Q746" s="276">
        <f>IF(O77&gt;0,ROUND(O77,0),0)</f>
        <v>32290</v>
      </c>
      <c r="R746" s="276">
        <f>IF(O78&gt;0,ROUND(O78,0),0)</f>
        <v>6802</v>
      </c>
      <c r="S746" s="276">
        <f>IF(O79&gt;0,ROUND(O79,0),0)</f>
        <v>330072</v>
      </c>
      <c r="T746" s="278">
        <f>IF(O80&gt;0,ROUND(O80,2),0)</f>
        <v>126.35</v>
      </c>
      <c r="U746" s="276"/>
      <c r="V746" s="277"/>
      <c r="W746" s="276"/>
      <c r="X746" s="276"/>
      <c r="Y746" s="276">
        <f t="shared" si="22"/>
        <v>11090142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164*2020*7020*A</v>
      </c>
      <c r="B747" s="276">
        <f>ROUND(P59,0)</f>
        <v>739476</v>
      </c>
      <c r="C747" s="278">
        <f>ROUND(P60,2)</f>
        <v>104.74</v>
      </c>
      <c r="D747" s="276">
        <f>ROUND(P61,0)</f>
        <v>9889291</v>
      </c>
      <c r="E747" s="276">
        <f>ROUND(P62,0)</f>
        <v>2271690</v>
      </c>
      <c r="F747" s="276">
        <f>ROUND(P63,0)</f>
        <v>7524</v>
      </c>
      <c r="G747" s="276">
        <f>ROUND(P64,0)</f>
        <v>36496756</v>
      </c>
      <c r="H747" s="276">
        <f>ROUND(P65,0)</f>
        <v>0</v>
      </c>
      <c r="I747" s="276">
        <f>ROUND(P66,0)</f>
        <v>2038286</v>
      </c>
      <c r="J747" s="276">
        <f>ROUND(P67,0)</f>
        <v>2677040</v>
      </c>
      <c r="K747" s="276">
        <f>ROUND(P68,0)</f>
        <v>81075</v>
      </c>
      <c r="L747" s="276">
        <f>ROUND(P69,0)</f>
        <v>15673</v>
      </c>
      <c r="M747" s="276">
        <f>ROUND(P70,0)</f>
        <v>0</v>
      </c>
      <c r="N747" s="276">
        <f>ROUND(P75,0)</f>
        <v>264920995</v>
      </c>
      <c r="O747" s="276">
        <f>ROUND(P73,0)</f>
        <v>83897462</v>
      </c>
      <c r="P747" s="276">
        <f>IF(P76&gt;0,ROUND(P76,0),0)</f>
        <v>71966</v>
      </c>
      <c r="Q747" s="276">
        <f>IF(P77&gt;0,ROUND(P77,0),0)</f>
        <v>0</v>
      </c>
      <c r="R747" s="276">
        <f>IF(P78&gt;0,ROUND(P78,0),0)</f>
        <v>9002</v>
      </c>
      <c r="S747" s="276">
        <f>IF(P79&gt;0,ROUND(P79,0),0)</f>
        <v>166060</v>
      </c>
      <c r="T747" s="278">
        <f>IF(P80&gt;0,ROUND(P80,2),0)</f>
        <v>46.56</v>
      </c>
      <c r="U747" s="276"/>
      <c r="V747" s="277"/>
      <c r="W747" s="276"/>
      <c r="X747" s="276"/>
      <c r="Y747" s="276">
        <f t="shared" si="22"/>
        <v>21057237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164*2020*7030*A</v>
      </c>
      <c r="B748" s="276">
        <f>ROUND(Q59,0)</f>
        <v>1821899</v>
      </c>
      <c r="C748" s="278">
        <f>ROUND(Q60,2)</f>
        <v>48.75</v>
      </c>
      <c r="D748" s="276">
        <f>ROUND(Q61,0)</f>
        <v>5607697</v>
      </c>
      <c r="E748" s="276">
        <f>ROUND(Q62,0)</f>
        <v>1485546</v>
      </c>
      <c r="F748" s="276">
        <f>ROUND(Q63,0)</f>
        <v>0</v>
      </c>
      <c r="G748" s="276">
        <f>ROUND(Q64,0)</f>
        <v>314913</v>
      </c>
      <c r="H748" s="276">
        <f>ROUND(Q65,0)</f>
        <v>652</v>
      </c>
      <c r="I748" s="276">
        <f>ROUND(Q66,0)</f>
        <v>68590</v>
      </c>
      <c r="J748" s="276">
        <f>ROUND(Q67,0)</f>
        <v>94819</v>
      </c>
      <c r="K748" s="276">
        <f>ROUND(Q68,0)</f>
        <v>649</v>
      </c>
      <c r="L748" s="276">
        <f>ROUND(Q69,0)</f>
        <v>5462</v>
      </c>
      <c r="M748" s="276">
        <f>ROUND(Q70,0)</f>
        <v>0</v>
      </c>
      <c r="N748" s="276">
        <f>ROUND(Q75,0)</f>
        <v>24115832</v>
      </c>
      <c r="O748" s="276">
        <f>ROUND(Q73,0)</f>
        <v>5173190</v>
      </c>
      <c r="P748" s="276">
        <f>IF(Q76&gt;0,ROUND(Q76,0),0)</f>
        <v>5119</v>
      </c>
      <c r="Q748" s="276">
        <f>IF(Q77&gt;0,ROUND(Q77,0),0)</f>
        <v>0</v>
      </c>
      <c r="R748" s="276">
        <f>IF(Q78&gt;0,ROUND(Q78,0),0)</f>
        <v>640</v>
      </c>
      <c r="S748" s="276">
        <f>IF(Q79&gt;0,ROUND(Q79,0),0)</f>
        <v>0</v>
      </c>
      <c r="T748" s="278">
        <f>IF(Q80&gt;0,ROUND(Q80,2),0)</f>
        <v>38.99</v>
      </c>
      <c r="U748" s="276"/>
      <c r="V748" s="277"/>
      <c r="W748" s="276"/>
      <c r="X748" s="276"/>
      <c r="Y748" s="276">
        <f t="shared" si="22"/>
        <v>2482803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164*2020*7040*A</v>
      </c>
      <c r="B749" s="276">
        <f>ROUND(R59,0)</f>
        <v>1277090</v>
      </c>
      <c r="C749" s="278">
        <f>ROUND(R60,2)</f>
        <v>7.28</v>
      </c>
      <c r="D749" s="276">
        <f>ROUND(R61,0)</f>
        <v>532550</v>
      </c>
      <c r="E749" s="276">
        <f>ROUND(R62,0)</f>
        <v>130978</v>
      </c>
      <c r="F749" s="276">
        <f>ROUND(R63,0)</f>
        <v>0</v>
      </c>
      <c r="G749" s="276">
        <f>ROUND(R64,0)</f>
        <v>417630</v>
      </c>
      <c r="H749" s="276">
        <f>ROUND(R65,0)</f>
        <v>0</v>
      </c>
      <c r="I749" s="276">
        <f>ROUND(R66,0)</f>
        <v>78808</v>
      </c>
      <c r="J749" s="276">
        <f>ROUND(R67,0)</f>
        <v>134227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41472969</v>
      </c>
      <c r="O749" s="276">
        <f>ROUND(R73,0)</f>
        <v>11145067</v>
      </c>
      <c r="P749" s="276">
        <f>IF(R76&gt;0,ROUND(R76,0),0)</f>
        <v>651</v>
      </c>
      <c r="Q749" s="276">
        <f>IF(R77&gt;0,ROUND(R77,0),0)</f>
        <v>49</v>
      </c>
      <c r="R749" s="276">
        <f>IF(R78&gt;0,ROUND(R78,0),0)</f>
        <v>81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2200329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164*2020*7050*A</v>
      </c>
      <c r="B750" s="276"/>
      <c r="C750" s="278">
        <f>ROUND(S60,2)</f>
        <v>19.95</v>
      </c>
      <c r="D750" s="276">
        <f>ROUND(S61,0)</f>
        <v>1297209</v>
      </c>
      <c r="E750" s="276">
        <f>ROUND(S62,0)</f>
        <v>302559</v>
      </c>
      <c r="F750" s="276">
        <f>ROUND(S63,0)</f>
        <v>0</v>
      </c>
      <c r="G750" s="276">
        <f>ROUND(S64,0)</f>
        <v>709109</v>
      </c>
      <c r="H750" s="276">
        <f>ROUND(S65,0)</f>
        <v>0</v>
      </c>
      <c r="I750" s="276">
        <f>ROUND(S66,0)</f>
        <v>254200</v>
      </c>
      <c r="J750" s="276">
        <f>ROUND(S67,0)</f>
        <v>335393</v>
      </c>
      <c r="K750" s="276">
        <f>ROUND(S68,0)</f>
        <v>417</v>
      </c>
      <c r="L750" s="276">
        <f>ROUND(S69,0)</f>
        <v>125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10270</v>
      </c>
      <c r="Q750" s="276">
        <f>IF(S77&gt;0,ROUND(S77,0),0)</f>
        <v>0</v>
      </c>
      <c r="R750" s="276">
        <f>IF(S78&gt;0,ROUND(S78,0),0)</f>
        <v>1284</v>
      </c>
      <c r="S750" s="276">
        <f>IF(S79&gt;0,ROUND(S79,0),0)</f>
        <v>21321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623182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164*2020*7060*A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2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164*2020*7070*A</v>
      </c>
      <c r="B752" s="276">
        <f>ROUND(U59,0)</f>
        <v>881954</v>
      </c>
      <c r="C752" s="278">
        <f>ROUND(U60,2)</f>
        <v>72.790000000000006</v>
      </c>
      <c r="D752" s="276">
        <f>ROUND(U61,0)</f>
        <v>5533655</v>
      </c>
      <c r="E752" s="276">
        <f>ROUND(U62,0)</f>
        <v>1543837</v>
      </c>
      <c r="F752" s="276">
        <f>ROUND(U63,0)</f>
        <v>138177</v>
      </c>
      <c r="G752" s="276">
        <f>ROUND(U64,0)</f>
        <v>4939988</v>
      </c>
      <c r="H752" s="276">
        <f>ROUND(U65,0)</f>
        <v>219</v>
      </c>
      <c r="I752" s="276">
        <f>ROUND(U66,0)</f>
        <v>5583381</v>
      </c>
      <c r="J752" s="276">
        <f>ROUND(U67,0)</f>
        <v>415415</v>
      </c>
      <c r="K752" s="276">
        <f>ROUND(U68,0)</f>
        <v>10068</v>
      </c>
      <c r="L752" s="276">
        <f>ROUND(U69,0)</f>
        <v>37003</v>
      </c>
      <c r="M752" s="276">
        <f>ROUND(U70,0)</f>
        <v>657811</v>
      </c>
      <c r="N752" s="276">
        <f>ROUND(U75,0)</f>
        <v>119077557</v>
      </c>
      <c r="O752" s="276">
        <f>ROUND(U73,0)</f>
        <v>66184421</v>
      </c>
      <c r="P752" s="276">
        <f>IF(U76&gt;0,ROUND(U76,0),0)</f>
        <v>15470</v>
      </c>
      <c r="Q752" s="276">
        <f>IF(U77&gt;0,ROUND(U77,0),0)</f>
        <v>0</v>
      </c>
      <c r="R752" s="276">
        <f>IF(U78&gt;0,ROUND(U78,0),0)</f>
        <v>1935</v>
      </c>
      <c r="S752" s="276">
        <f>IF(U79&gt;0,ROUND(U79,0),0)</f>
        <v>2262</v>
      </c>
      <c r="T752" s="278">
        <f>IF(U80&gt;0,ROUND(U80,2),0)</f>
        <v>0.72</v>
      </c>
      <c r="U752" s="276"/>
      <c r="V752" s="277"/>
      <c r="W752" s="276"/>
      <c r="X752" s="276"/>
      <c r="Y752" s="276">
        <f t="shared" si="22"/>
        <v>7944939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164*2020*7110*A</v>
      </c>
      <c r="B753" s="276">
        <f>ROUND(V59,0)</f>
        <v>0</v>
      </c>
      <c r="C753" s="278">
        <f>ROUND(V60,2)</f>
        <v>2.35</v>
      </c>
      <c r="D753" s="276">
        <f>ROUND(V61,0)</f>
        <v>143720</v>
      </c>
      <c r="E753" s="276">
        <f>ROUND(V62,0)</f>
        <v>40156</v>
      </c>
      <c r="F753" s="276">
        <f>ROUND(V63,0)</f>
        <v>1975</v>
      </c>
      <c r="G753" s="276">
        <f>ROUND(V64,0)</f>
        <v>26821</v>
      </c>
      <c r="H753" s="276">
        <f>ROUND(V65,0)</f>
        <v>0</v>
      </c>
      <c r="I753" s="276">
        <f>ROUND(V66,0)</f>
        <v>0</v>
      </c>
      <c r="J753" s="276">
        <f>ROUND(V67,0)</f>
        <v>8294</v>
      </c>
      <c r="K753" s="276">
        <f>ROUND(V68,0)</f>
        <v>0</v>
      </c>
      <c r="L753" s="276">
        <f>ROUND(V69,0)</f>
        <v>0</v>
      </c>
      <c r="M753" s="276">
        <f>ROUND(V70,0)</f>
        <v>2805</v>
      </c>
      <c r="N753" s="276">
        <f>ROUND(V75,0)</f>
        <v>2158182</v>
      </c>
      <c r="O753" s="276">
        <f>ROUND(V73,0)</f>
        <v>1613505</v>
      </c>
      <c r="P753" s="276">
        <f>IF(V76&gt;0,ROUND(V76,0),0)</f>
        <v>298</v>
      </c>
      <c r="Q753" s="276">
        <f>IF(V77&gt;0,ROUND(V77,0),0)</f>
        <v>0</v>
      </c>
      <c r="R753" s="276">
        <f>IF(V78&gt;0,ROUND(V78,0),0)</f>
        <v>37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139930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164*2020*7120*A</v>
      </c>
      <c r="B754" s="276">
        <f>ROUND(W59,0)</f>
        <v>30017</v>
      </c>
      <c r="C754" s="278">
        <f>ROUND(W60,2)</f>
        <v>5.2</v>
      </c>
      <c r="D754" s="276">
        <f>ROUND(W61,0)</f>
        <v>681556</v>
      </c>
      <c r="E754" s="276">
        <f>ROUND(W62,0)</f>
        <v>128126</v>
      </c>
      <c r="F754" s="276">
        <f>ROUND(W63,0)</f>
        <v>0</v>
      </c>
      <c r="G754" s="276">
        <f>ROUND(W64,0)</f>
        <v>185087</v>
      </c>
      <c r="H754" s="276">
        <f>ROUND(W65,0)</f>
        <v>0</v>
      </c>
      <c r="I754" s="276">
        <f>ROUND(W66,0)</f>
        <v>143748</v>
      </c>
      <c r="J754" s="276">
        <f>ROUND(W67,0)</f>
        <v>221523</v>
      </c>
      <c r="K754" s="276">
        <f>ROUND(W68,0)</f>
        <v>0</v>
      </c>
      <c r="L754" s="276">
        <f>ROUND(W69,0)</f>
        <v>1476</v>
      </c>
      <c r="M754" s="276">
        <f>ROUND(W70,0)</f>
        <v>0</v>
      </c>
      <c r="N754" s="276">
        <f>ROUND(W75,0)</f>
        <v>15184596</v>
      </c>
      <c r="O754" s="276">
        <f>ROUND(W73,0)</f>
        <v>5135959</v>
      </c>
      <c r="P754" s="276">
        <f>IF(W76&gt;0,ROUND(W76,0),0)</f>
        <v>3104</v>
      </c>
      <c r="Q754" s="276">
        <f>IF(W77&gt;0,ROUND(W77,0),0)</f>
        <v>0</v>
      </c>
      <c r="R754" s="276">
        <f>IF(W78&gt;0,ROUND(W78,0),0)</f>
        <v>388</v>
      </c>
      <c r="S754" s="276">
        <f>IF(W79&gt;0,ROUND(W79,0),0)</f>
        <v>20327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970695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164*2020*7130*A</v>
      </c>
      <c r="B755" s="276">
        <f>ROUND(X59,0)</f>
        <v>138649</v>
      </c>
      <c r="C755" s="278">
        <f>ROUND(X60,2)</f>
        <v>12.99</v>
      </c>
      <c r="D755" s="276">
        <f>ROUND(X61,0)</f>
        <v>1366038</v>
      </c>
      <c r="E755" s="276">
        <f>ROUND(X62,0)</f>
        <v>269026</v>
      </c>
      <c r="F755" s="276">
        <f>ROUND(X63,0)</f>
        <v>0</v>
      </c>
      <c r="G755" s="276">
        <f>ROUND(X64,0)</f>
        <v>371837</v>
      </c>
      <c r="H755" s="276">
        <f>ROUND(X65,0)</f>
        <v>0</v>
      </c>
      <c r="I755" s="276">
        <f>ROUND(X66,0)</f>
        <v>475512</v>
      </c>
      <c r="J755" s="276">
        <f>ROUND(X67,0)</f>
        <v>121137</v>
      </c>
      <c r="K755" s="276">
        <f>ROUND(X68,0)</f>
        <v>0</v>
      </c>
      <c r="L755" s="276">
        <f>ROUND(X69,0)</f>
        <v>3181</v>
      </c>
      <c r="M755" s="276">
        <f>ROUND(X70,0)</f>
        <v>0</v>
      </c>
      <c r="N755" s="276">
        <f>ROUND(X75,0)</f>
        <v>64087701</v>
      </c>
      <c r="O755" s="276">
        <f>ROUND(X73,0)</f>
        <v>21139298</v>
      </c>
      <c r="P755" s="276">
        <f>IF(X76&gt;0,ROUND(X76,0),0)</f>
        <v>3166</v>
      </c>
      <c r="Q755" s="276">
        <f>IF(X77&gt;0,ROUND(X77,0),0)</f>
        <v>0</v>
      </c>
      <c r="R755" s="276">
        <f>IF(X78&gt;0,ROUND(X78,0),0)</f>
        <v>396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3506498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164*2020*7140*A</v>
      </c>
      <c r="B756" s="276">
        <f>ROUND(Y59,0)</f>
        <v>336276</v>
      </c>
      <c r="C756" s="278">
        <f>ROUND(Y60,2)</f>
        <v>136.04</v>
      </c>
      <c r="D756" s="276">
        <f>ROUND(Y61,0)</f>
        <v>13579741</v>
      </c>
      <c r="E756" s="276">
        <f>ROUND(Y62,0)</f>
        <v>3308640</v>
      </c>
      <c r="F756" s="276">
        <f>ROUND(Y63,0)</f>
        <v>138097</v>
      </c>
      <c r="G756" s="276">
        <f>ROUND(Y64,0)</f>
        <v>6030149</v>
      </c>
      <c r="H756" s="276">
        <f>ROUND(Y65,0)</f>
        <v>15128</v>
      </c>
      <c r="I756" s="276">
        <f>ROUND(Y66,0)</f>
        <v>3993265</v>
      </c>
      <c r="J756" s="276">
        <f>ROUND(Y67,0)</f>
        <v>2982585</v>
      </c>
      <c r="K756" s="276">
        <f>ROUND(Y68,0)</f>
        <v>446004</v>
      </c>
      <c r="L756" s="276">
        <f>ROUND(Y69,0)</f>
        <v>58660</v>
      </c>
      <c r="M756" s="276">
        <f>ROUND(Y70,0)</f>
        <v>12919</v>
      </c>
      <c r="N756" s="276">
        <f>ROUND(Y75,0)</f>
        <v>167278090</v>
      </c>
      <c r="O756" s="276">
        <f>ROUND(Y73,0)</f>
        <v>43196583</v>
      </c>
      <c r="P756" s="276">
        <f>IF(Y76&gt;0,ROUND(Y76,0),0)</f>
        <v>50628</v>
      </c>
      <c r="Q756" s="276">
        <f>IF(Y77&gt;0,ROUND(Y77,0),0)</f>
        <v>0</v>
      </c>
      <c r="R756" s="276">
        <f>IF(Y78&gt;0,ROUND(Y78,0),0)</f>
        <v>6331</v>
      </c>
      <c r="S756" s="276">
        <f>IF(Y79&gt;0,ROUND(Y79,0),0)</f>
        <v>256891</v>
      </c>
      <c r="T756" s="278">
        <f>IF(Y80&gt;0,ROUND(Y80,2),0)</f>
        <v>21.8</v>
      </c>
      <c r="U756" s="276"/>
      <c r="V756" s="277"/>
      <c r="W756" s="276"/>
      <c r="X756" s="276"/>
      <c r="Y756" s="276">
        <f t="shared" si="22"/>
        <v>12884354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164*2020*7150*A</v>
      </c>
      <c r="B757" s="276">
        <f>ROUND(Z59,0)</f>
        <v>60040</v>
      </c>
      <c r="C757" s="278">
        <f>ROUND(Z60,2)</f>
        <v>20.79</v>
      </c>
      <c r="D757" s="276">
        <f>ROUND(Z61,0)</f>
        <v>4151003</v>
      </c>
      <c r="E757" s="276">
        <f>ROUND(Z62,0)</f>
        <v>714784</v>
      </c>
      <c r="F757" s="276">
        <f>ROUND(Z63,0)</f>
        <v>0</v>
      </c>
      <c r="G757" s="276">
        <f>ROUND(Z64,0)</f>
        <v>518119</v>
      </c>
      <c r="H757" s="276">
        <f>ROUND(Z65,0)</f>
        <v>2517</v>
      </c>
      <c r="I757" s="276">
        <f>ROUND(Z66,0)</f>
        <v>1501287</v>
      </c>
      <c r="J757" s="276">
        <f>ROUND(Z67,0)</f>
        <v>1241999</v>
      </c>
      <c r="K757" s="276">
        <f>ROUND(Z68,0)</f>
        <v>0</v>
      </c>
      <c r="L757" s="276">
        <f>ROUND(Z69,0)</f>
        <v>21102</v>
      </c>
      <c r="M757" s="276">
        <f>ROUND(Z70,0)</f>
        <v>17409</v>
      </c>
      <c r="N757" s="276">
        <f>ROUND(Z75,0)</f>
        <v>39377864</v>
      </c>
      <c r="O757" s="276">
        <f>ROUND(Z73,0)</f>
        <v>860974</v>
      </c>
      <c r="P757" s="276">
        <f>IF(Z76&gt;0,ROUND(Z76,0),0)</f>
        <v>16493</v>
      </c>
      <c r="Q757" s="276">
        <f>IF(Z77&gt;0,ROUND(Z77,0),0)</f>
        <v>0</v>
      </c>
      <c r="R757" s="276">
        <f>IF(Z78&gt;0,ROUND(Z78,0),0)</f>
        <v>2062</v>
      </c>
      <c r="S757" s="276">
        <f>IF(Z79&gt;0,ROUND(Z79,0),0)</f>
        <v>45209</v>
      </c>
      <c r="T757" s="278">
        <f>IF(Z80&gt;0,ROUND(Z80,2),0)</f>
        <v>4.21</v>
      </c>
      <c r="U757" s="276"/>
      <c r="V757" s="277"/>
      <c r="W757" s="276"/>
      <c r="X757" s="276"/>
      <c r="Y757" s="276">
        <f t="shared" si="22"/>
        <v>3157371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164*2020*7160*A</v>
      </c>
      <c r="B758" s="276">
        <f>ROUND(AA59,0)</f>
        <v>13413</v>
      </c>
      <c r="C758" s="278">
        <f>ROUND(AA60,2)</f>
        <v>3.08</v>
      </c>
      <c r="D758" s="276">
        <f>ROUND(AA61,0)</f>
        <v>425187</v>
      </c>
      <c r="E758" s="276">
        <f>ROUND(AA62,0)</f>
        <v>79950</v>
      </c>
      <c r="F758" s="276">
        <f>ROUND(AA63,0)</f>
        <v>0</v>
      </c>
      <c r="G758" s="276">
        <f>ROUND(AA64,0)</f>
        <v>448641</v>
      </c>
      <c r="H758" s="276">
        <f>ROUND(AA65,0)</f>
        <v>0</v>
      </c>
      <c r="I758" s="276">
        <f>ROUND(AA66,0)</f>
        <v>99682</v>
      </c>
      <c r="J758" s="276">
        <f>ROUND(AA67,0)</f>
        <v>164491</v>
      </c>
      <c r="K758" s="276">
        <f>ROUND(AA68,0)</f>
        <v>0</v>
      </c>
      <c r="L758" s="276">
        <f>ROUND(AA69,0)</f>
        <v>9863</v>
      </c>
      <c r="M758" s="276">
        <f>ROUND(AA70,0)</f>
        <v>0</v>
      </c>
      <c r="N758" s="276">
        <f>ROUND(AA75,0)</f>
        <v>4660626</v>
      </c>
      <c r="O758" s="276">
        <f>ROUND(AA73,0)</f>
        <v>1050212</v>
      </c>
      <c r="P758" s="276">
        <f>IF(AA76&gt;0,ROUND(AA76,0),0)</f>
        <v>1139</v>
      </c>
      <c r="Q758" s="276">
        <f>IF(AA77&gt;0,ROUND(AA77,0),0)</f>
        <v>0</v>
      </c>
      <c r="R758" s="276">
        <f>IF(AA78&gt;0,ROUND(AA78,0),0)</f>
        <v>142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371133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164*2020*7170*A</v>
      </c>
      <c r="B759" s="276"/>
      <c r="C759" s="278">
        <f>ROUND(AB60,2)</f>
        <v>55.25</v>
      </c>
      <c r="D759" s="276">
        <f>ROUND(AB61,0)</f>
        <v>5952130</v>
      </c>
      <c r="E759" s="276">
        <f>ROUND(AB62,0)</f>
        <v>1361836</v>
      </c>
      <c r="F759" s="276">
        <f>ROUND(AB63,0)</f>
        <v>0</v>
      </c>
      <c r="G759" s="276">
        <f>ROUND(AB64,0)</f>
        <v>17314356</v>
      </c>
      <c r="H759" s="276">
        <f>ROUND(AB65,0)</f>
        <v>0</v>
      </c>
      <c r="I759" s="276">
        <f>ROUND(AB66,0)</f>
        <v>241603</v>
      </c>
      <c r="J759" s="276">
        <f>ROUND(AB67,0)</f>
        <v>223023</v>
      </c>
      <c r="K759" s="276">
        <f>ROUND(AB68,0)</f>
        <v>0</v>
      </c>
      <c r="L759" s="276">
        <f>ROUND(AB69,0)</f>
        <v>35023</v>
      </c>
      <c r="M759" s="276">
        <f>ROUND(AB70,0)</f>
        <v>1518</v>
      </c>
      <c r="N759" s="276">
        <f>ROUND(AB75,0)</f>
        <v>140559568</v>
      </c>
      <c r="O759" s="276">
        <f>ROUND(AB73,0)</f>
        <v>71699584</v>
      </c>
      <c r="P759" s="276">
        <f>IF(AB76&gt;0,ROUND(AB76,0),0)</f>
        <v>7695</v>
      </c>
      <c r="Q759" s="276">
        <f>IF(AB77&gt;0,ROUND(AB77,0),0)</f>
        <v>0</v>
      </c>
      <c r="R759" s="276">
        <f>IF(AB78&gt;0,ROUND(AB78,0),0)</f>
        <v>962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9567539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164*2020*7180*A</v>
      </c>
      <c r="B760" s="276">
        <f>ROUND(AC59,0)</f>
        <v>24457</v>
      </c>
      <c r="C760" s="278">
        <f>ROUND(AC60,2)</f>
        <v>28.68</v>
      </c>
      <c r="D760" s="276">
        <f>ROUND(AC61,0)</f>
        <v>2708296</v>
      </c>
      <c r="E760" s="276">
        <f>ROUND(AC62,0)</f>
        <v>580149</v>
      </c>
      <c r="F760" s="276">
        <f>ROUND(AC63,0)</f>
        <v>0</v>
      </c>
      <c r="G760" s="276">
        <f>ROUND(AC64,0)</f>
        <v>398576</v>
      </c>
      <c r="H760" s="276">
        <f>ROUND(AC65,0)</f>
        <v>0</v>
      </c>
      <c r="I760" s="276">
        <f>ROUND(AC66,0)</f>
        <v>7663</v>
      </c>
      <c r="J760" s="276">
        <f>ROUND(AC67,0)</f>
        <v>78846</v>
      </c>
      <c r="K760" s="276">
        <f>ROUND(AC68,0)</f>
        <v>474</v>
      </c>
      <c r="L760" s="276">
        <f>ROUND(AC69,0)</f>
        <v>2358</v>
      </c>
      <c r="M760" s="276">
        <f>ROUND(AC70,0)</f>
        <v>0</v>
      </c>
      <c r="N760" s="276">
        <f>ROUND(AC75,0)</f>
        <v>20286310</v>
      </c>
      <c r="O760" s="276">
        <f>ROUND(AC73,0)</f>
        <v>19679502</v>
      </c>
      <c r="P760" s="276">
        <f>IF(AC76&gt;0,ROUND(AC76,0),0)</f>
        <v>2635</v>
      </c>
      <c r="Q760" s="276">
        <f>IF(AC77&gt;0,ROUND(AC77,0),0)</f>
        <v>0</v>
      </c>
      <c r="R760" s="276">
        <f>IF(AC78&gt;0,ROUND(AC78,0),0)</f>
        <v>330</v>
      </c>
      <c r="S760" s="276">
        <f>IF(AC79&gt;0,ROUND(AC79,0),0)</f>
        <v>0</v>
      </c>
      <c r="T760" s="278">
        <f>IF(AC80&gt;0,ROUND(AC80,2),0)</f>
        <v>0.04</v>
      </c>
      <c r="U760" s="276"/>
      <c r="V760" s="277"/>
      <c r="W760" s="276"/>
      <c r="X760" s="276"/>
      <c r="Y760" s="276">
        <f t="shared" si="22"/>
        <v>1444750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164*2020*7190*A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164*2020*7200*A</v>
      </c>
      <c r="B762" s="276">
        <f>ROUND(AE59,0)</f>
        <v>72038</v>
      </c>
      <c r="C762" s="278">
        <f>ROUND(AE60,2)</f>
        <v>53.08</v>
      </c>
      <c r="D762" s="276">
        <f>ROUND(AE61,0)</f>
        <v>4613403</v>
      </c>
      <c r="E762" s="276">
        <f>ROUND(AE62,0)</f>
        <v>1233556</v>
      </c>
      <c r="F762" s="276">
        <f>ROUND(AE63,0)</f>
        <v>0</v>
      </c>
      <c r="G762" s="276">
        <f>ROUND(AE64,0)</f>
        <v>72766</v>
      </c>
      <c r="H762" s="276">
        <f>ROUND(AE65,0)</f>
        <v>4837</v>
      </c>
      <c r="I762" s="276">
        <f>ROUND(AE66,0)</f>
        <v>56057</v>
      </c>
      <c r="J762" s="276">
        <f>ROUND(AE67,0)</f>
        <v>190643</v>
      </c>
      <c r="K762" s="276" t="e">
        <f>ROUND(#REF!,0)</f>
        <v>#REF!</v>
      </c>
      <c r="L762" s="276">
        <f>ROUND(AE69,0)</f>
        <v>11190</v>
      </c>
      <c r="M762" s="276">
        <f>ROUND(AE70,0)</f>
        <v>4379</v>
      </c>
      <c r="N762" s="276">
        <f>ROUND(AE75,0)</f>
        <v>29073114</v>
      </c>
      <c r="O762" s="276">
        <f>ROUND(AE73,0)</f>
        <v>14036401</v>
      </c>
      <c r="P762" s="276">
        <f>IF(AE76&gt;0,ROUND(AE76,0),0)</f>
        <v>17259</v>
      </c>
      <c r="Q762" s="276">
        <f>IF(AE77&gt;0,ROUND(AE77,0),0)</f>
        <v>0</v>
      </c>
      <c r="R762" s="276">
        <f>IF(AE78&gt;0,ROUND(AE78,0),0)</f>
        <v>2192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2606454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164*2020*7220*A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ROUND(AE68,0)</f>
        <v>153572</v>
      </c>
      <c r="L763" s="276">
        <f>ROUND(AG69,0)</f>
        <v>15739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164*2020*7230*A</v>
      </c>
      <c r="B764" s="276">
        <f>ROUND(AG59,0)</f>
        <v>95286</v>
      </c>
      <c r="C764" s="278">
        <f>ROUND(AG60,2)</f>
        <v>105.21</v>
      </c>
      <c r="D764" s="276">
        <f>ROUND(AG61,0)</f>
        <v>9600024</v>
      </c>
      <c r="E764" s="276">
        <f>ROUND(AG62,0)</f>
        <v>2589663</v>
      </c>
      <c r="F764" s="276">
        <f>ROUND(AG63,0)</f>
        <v>660704</v>
      </c>
      <c r="G764" s="276">
        <f>ROUND(AG64,0)</f>
        <v>1499176</v>
      </c>
      <c r="H764" s="276">
        <f>ROUND(AG65,0)</f>
        <v>9630</v>
      </c>
      <c r="I764" s="276">
        <f>ROUND(AG66,0)</f>
        <v>590704</v>
      </c>
      <c r="J764" s="276">
        <f>ROUND(AG67,0)</f>
        <v>1055602</v>
      </c>
      <c r="K764" s="276">
        <f>ROUND(AG68,0)</f>
        <v>599099</v>
      </c>
      <c r="L764" s="276" t="e">
        <f>ROUND(#REF!,0)</f>
        <v>#REF!</v>
      </c>
      <c r="M764" s="276">
        <f>ROUND(AG70,0)</f>
        <v>4297</v>
      </c>
      <c r="N764" s="276">
        <f>ROUND(AG75,0)</f>
        <v>147552981</v>
      </c>
      <c r="O764" s="276">
        <f>ROUND(AG73,0)</f>
        <v>34949493</v>
      </c>
      <c r="P764" s="276">
        <f>IF(AG76&gt;0,ROUND(AG76,0),0)</f>
        <v>55060</v>
      </c>
      <c r="Q764" s="276">
        <f>IF(AG77&gt;0,ROUND(AG77,0),0)</f>
        <v>3113</v>
      </c>
      <c r="R764" s="276">
        <f>IF(AG78&gt;0,ROUND(AG78,0),0)</f>
        <v>6885</v>
      </c>
      <c r="S764" s="276">
        <f>IF(AG79&gt;0,ROUND(AG79,0),0)</f>
        <v>366846</v>
      </c>
      <c r="T764" s="278">
        <f>IF(AG80&gt;0,ROUND(AG80,2),0)</f>
        <v>63.07</v>
      </c>
      <c r="U764" s="276"/>
      <c r="V764" s="277"/>
      <c r="W764" s="276"/>
      <c r="X764" s="276"/>
      <c r="Y764" s="276">
        <f t="shared" si="22"/>
        <v>11449844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164*2020*7240*A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164*2020*7250*A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164*2020*7260*A</v>
      </c>
      <c r="B767" s="276">
        <f>ROUND(AJ59,0)</f>
        <v>249762</v>
      </c>
      <c r="C767" s="278">
        <f>ROUND(AJ60,2)</f>
        <v>452.11</v>
      </c>
      <c r="D767" s="276">
        <f>ROUND(AJ61,0)</f>
        <v>67040973</v>
      </c>
      <c r="E767" s="276">
        <f>ROUND(AJ62,0)</f>
        <v>13459316</v>
      </c>
      <c r="F767" s="276">
        <f>ROUND(AJ63,0)</f>
        <v>1695805</v>
      </c>
      <c r="G767" s="276">
        <f>ROUND(AJ64,0)</f>
        <v>5053280</v>
      </c>
      <c r="H767" s="276">
        <f>ROUND(AJ65,0)</f>
        <v>82660</v>
      </c>
      <c r="I767" s="276">
        <f>ROUND(AJ66,0)</f>
        <v>1065091</v>
      </c>
      <c r="J767" s="276">
        <f>ROUND(AJ67,0)</f>
        <v>3170361</v>
      </c>
      <c r="K767" s="276">
        <f>ROUND(AJ68,0)</f>
        <v>136053</v>
      </c>
      <c r="L767" s="276">
        <f>ROUND(AJ69,0)</f>
        <v>1116750</v>
      </c>
      <c r="M767" s="276">
        <f>ROUND(AJ70,0)</f>
        <v>3669979</v>
      </c>
      <c r="N767" s="276">
        <f>ROUND(AJ75,0)</f>
        <v>167724873</v>
      </c>
      <c r="O767" s="276">
        <f>ROUND(AJ73,0)</f>
        <v>25565860</v>
      </c>
      <c r="P767" s="276">
        <f>IF(AJ76&gt;0,ROUND(AJ76,0),0)</f>
        <v>144637</v>
      </c>
      <c r="Q767" s="276">
        <f>IF(AJ77&gt;0,ROUND(AJ77,0),0)</f>
        <v>0</v>
      </c>
      <c r="R767" s="276">
        <f>IF(AJ78&gt;0,ROUND(AJ78,0),0)</f>
        <v>18087</v>
      </c>
      <c r="S767" s="276">
        <f>IF(AJ79&gt;0,ROUND(AJ79,0),0)</f>
        <v>76047</v>
      </c>
      <c r="T767" s="278">
        <f>IF(AJ80&gt;0,ROUND(AJ80,2),0)</f>
        <v>48.52</v>
      </c>
      <c r="U767" s="276"/>
      <c r="V767" s="277"/>
      <c r="W767" s="276"/>
      <c r="X767" s="276"/>
      <c r="Y767" s="276">
        <f t="shared" si="22"/>
        <v>21030675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164*2020*7310*A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164*2020*7320*A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164*2020*7330*A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164*2020*7340*A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164*2020*7350*A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164*2020*7380*A</v>
      </c>
      <c r="B773" s="276">
        <f>ROUND(AP59,0)</f>
        <v>330570</v>
      </c>
      <c r="C773" s="278">
        <f>ROUND(AP60,2)</f>
        <v>375.67</v>
      </c>
      <c r="D773" s="276">
        <f>ROUND(AP61,0)</f>
        <v>44273580</v>
      </c>
      <c r="E773" s="276">
        <f>ROUND(AP62,0)</f>
        <v>9838403</v>
      </c>
      <c r="F773" s="276">
        <f>ROUND(AP63,0)</f>
        <v>4827935</v>
      </c>
      <c r="G773" s="276">
        <f>ROUND(AP64,0)</f>
        <v>5393143</v>
      </c>
      <c r="H773" s="276">
        <f>ROUND(AP65,0)</f>
        <v>173866</v>
      </c>
      <c r="I773" s="276">
        <f>ROUND(AP66,0)</f>
        <v>1522407</v>
      </c>
      <c r="J773" s="276">
        <f>ROUND(AP67,0)</f>
        <v>3097009</v>
      </c>
      <c r="K773" s="276">
        <f>ROUND(AP68,0)</f>
        <v>6244110</v>
      </c>
      <c r="L773" s="276">
        <f>ROUND(AP69,0)</f>
        <v>1004363</v>
      </c>
      <c r="M773" s="276">
        <f>ROUND(AP70,0)</f>
        <v>3285153</v>
      </c>
      <c r="N773" s="276">
        <f>ROUND(AP75,0)</f>
        <v>113270377</v>
      </c>
      <c r="O773" s="276">
        <f>ROUND(AP73,0)</f>
        <v>3783501</v>
      </c>
      <c r="P773" s="276">
        <f>IF(AP76&gt;0,ROUND(AP76,0),0)</f>
        <v>45968</v>
      </c>
      <c r="Q773" s="276">
        <f>IF(AP77&gt;0,ROUND(AP77,0),0)</f>
        <v>0</v>
      </c>
      <c r="R773" s="276">
        <f>IF(AP78&gt;0,ROUND(AP78,0),0)</f>
        <v>5748</v>
      </c>
      <c r="S773" s="276">
        <f>IF(AP79&gt;0,ROUND(AP79,0),0)</f>
        <v>0</v>
      </c>
      <c r="T773" s="278">
        <f>IF(AP80&gt;0,ROUND(AP80,2),0)</f>
        <v>14.15</v>
      </c>
      <c r="U773" s="276"/>
      <c r="V773" s="277"/>
      <c r="W773" s="276"/>
      <c r="X773" s="276"/>
      <c r="Y773" s="276">
        <f t="shared" si="22"/>
        <v>13348925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164*2020*7390*A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164*2020*7400*A</v>
      </c>
      <c r="B775" s="276">
        <f>ROUND(AR59,0)</f>
        <v>0</v>
      </c>
      <c r="C775" s="278">
        <f>ROUND(AR60,2)</f>
        <v>439.44</v>
      </c>
      <c r="D775" s="276">
        <f>ROUND(AR61,0)</f>
        <v>44696481</v>
      </c>
      <c r="E775" s="276">
        <f>ROUND(AR62,0)</f>
        <v>11259535</v>
      </c>
      <c r="F775" s="276">
        <f>ROUND(AR63,0)</f>
        <v>40240</v>
      </c>
      <c r="G775" s="276">
        <f>ROUND(AR64,0)</f>
        <v>3499469</v>
      </c>
      <c r="H775" s="276">
        <f>ROUND(AR65,0)</f>
        <v>288709</v>
      </c>
      <c r="I775" s="276">
        <f>ROUND(AR66,0)</f>
        <v>3248872</v>
      </c>
      <c r="J775" s="276">
        <f>ROUND(AR67,0)</f>
        <v>97941</v>
      </c>
      <c r="K775" s="276">
        <f>ROUND(AR68,0)</f>
        <v>1424789</v>
      </c>
      <c r="L775" s="276">
        <f>ROUND(AR69,0)</f>
        <v>1290335</v>
      </c>
      <c r="M775" s="276">
        <f>ROUND(AR70,0)</f>
        <v>72191</v>
      </c>
      <c r="N775" s="276">
        <f>ROUND(AR75,0)</f>
        <v>129902011</v>
      </c>
      <c r="O775" s="276">
        <f>ROUND(AR73,0)</f>
        <v>13781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165.49</v>
      </c>
      <c r="U775" s="276"/>
      <c r="V775" s="277"/>
      <c r="W775" s="276"/>
      <c r="X775" s="276"/>
      <c r="Y775" s="276">
        <f t="shared" si="22"/>
        <v>14152200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164*2020*7410*A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164*2020*7420*A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164*2020*7430*A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164*2020*7490*A</v>
      </c>
      <c r="B779" s="276"/>
      <c r="C779" s="278">
        <f>ROUND(AV60,2)</f>
        <v>22.17</v>
      </c>
      <c r="D779" s="276">
        <f>ROUND(AV61,0)</f>
        <v>2334743</v>
      </c>
      <c r="E779" s="276">
        <f>ROUND(AV62,0)</f>
        <v>569248</v>
      </c>
      <c r="F779" s="276">
        <f>ROUND(AV63,0)</f>
        <v>0</v>
      </c>
      <c r="G779" s="276">
        <f>ROUND(AV64,0)</f>
        <v>6246387</v>
      </c>
      <c r="H779" s="276">
        <f>ROUND(AV65,0)</f>
        <v>5106</v>
      </c>
      <c r="I779" s="276">
        <f>ROUND(AV66,0)</f>
        <v>328818</v>
      </c>
      <c r="J779" s="276">
        <f>ROUND(AV67,0)</f>
        <v>228823</v>
      </c>
      <c r="K779" s="276">
        <f>ROUND(AV68,0)</f>
        <v>0</v>
      </c>
      <c r="L779" s="276">
        <f>ROUND(AV69,0)</f>
        <v>14218</v>
      </c>
      <c r="M779" s="276">
        <f>ROUND(AV70,0)</f>
        <v>6046951</v>
      </c>
      <c r="N779" s="276">
        <f>ROUND(AV75,0)</f>
        <v>10191410</v>
      </c>
      <c r="O779" s="276">
        <f>ROUND(AV73,0)</f>
        <v>1988676</v>
      </c>
      <c r="P779" s="276">
        <f>IF(AV76&gt;0,ROUND(AV76,0),0)</f>
        <v>13135</v>
      </c>
      <c r="Q779" s="276">
        <f>IF(AV77&gt;0,ROUND(AV77,0),0)</f>
        <v>0</v>
      </c>
      <c r="R779" s="276">
        <f>IF(AV78&gt;0,ROUND(AV78,0),0)</f>
        <v>1642</v>
      </c>
      <c r="S779" s="276">
        <f>IF(AV79&gt;0,ROUND(AV79,0),0)</f>
        <v>38998</v>
      </c>
      <c r="T779" s="278">
        <f>IF(AV80&gt;0,ROUND(AV80,2),0)</f>
        <v>75.66</v>
      </c>
      <c r="U779" s="276"/>
      <c r="V779" s="277"/>
      <c r="W779" s="276"/>
      <c r="X779" s="276"/>
      <c r="Y779" s="276">
        <f t="shared" si="22"/>
        <v>2374221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164*2020*8200*A</v>
      </c>
      <c r="B780" s="276"/>
      <c r="C780" s="278">
        <f>ROUND(AW60,2)</f>
        <v>16.86</v>
      </c>
      <c r="D780" s="276">
        <f>ROUND(AW61,0)</f>
        <v>1239469</v>
      </c>
      <c r="E780" s="276">
        <f>ROUND(AW62,0)</f>
        <v>267100</v>
      </c>
      <c r="F780" s="276">
        <f>ROUND(AW63,0)</f>
        <v>660692</v>
      </c>
      <c r="G780" s="276">
        <f>ROUND(AW64,0)</f>
        <v>38567</v>
      </c>
      <c r="H780" s="276">
        <f>ROUND(AW65,0)</f>
        <v>165</v>
      </c>
      <c r="I780" s="276">
        <f>ROUND(AW66,0)</f>
        <v>82642</v>
      </c>
      <c r="J780" s="276">
        <f>ROUND(AW67,0)</f>
        <v>26637</v>
      </c>
      <c r="K780" s="276">
        <f>ROUND(AW68,0)</f>
        <v>0</v>
      </c>
      <c r="L780" s="276">
        <f>ROUND(AW69,0)</f>
        <v>81451</v>
      </c>
      <c r="M780" s="276">
        <f>ROUND(AW70,0)</f>
        <v>3917310</v>
      </c>
      <c r="N780" s="276"/>
      <c r="O780" s="276"/>
      <c r="P780" s="276">
        <f>IF(AW76&gt;0,ROUND(AW76,0),0)</f>
        <v>3911</v>
      </c>
      <c r="Q780" s="276">
        <f>IF(AW77&gt;0,ROUND(AW77,0),0)</f>
        <v>0</v>
      </c>
      <c r="R780" s="276">
        <f>IF(AW78&gt;0,ROUND(AW78,0),0)</f>
        <v>489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164*2020*8310*A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378796</v>
      </c>
      <c r="H781" s="276">
        <f>ROUND(AX65,0)</f>
        <v>7181</v>
      </c>
      <c r="I781" s="276">
        <f>ROUND(AX66,0)</f>
        <v>2793883</v>
      </c>
      <c r="J781" s="276">
        <f>ROUND(AX67,0)</f>
        <v>0</v>
      </c>
      <c r="K781" s="276">
        <f>ROUND(AX68,0)</f>
        <v>1829845</v>
      </c>
      <c r="L781" s="276">
        <f>ROUND(AX69,0)</f>
        <v>19066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164*2020*8320*A</v>
      </c>
      <c r="B782" s="276">
        <f>ROUND(AY59,0)</f>
        <v>0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164*2020*8330*A</v>
      </c>
      <c r="B783" s="276">
        <f>ROUND(AZ59,0)</f>
        <v>721632</v>
      </c>
      <c r="C783" s="278">
        <f>ROUND(AZ60,2)</f>
        <v>58.68</v>
      </c>
      <c r="D783" s="276">
        <f>ROUND(AZ61,0)</f>
        <v>2787298</v>
      </c>
      <c r="E783" s="276">
        <f>ROUND(AZ62,0)</f>
        <v>959884</v>
      </c>
      <c r="F783" s="276">
        <f>ROUND(AZ63,0)</f>
        <v>0</v>
      </c>
      <c r="G783" s="276">
        <f>ROUND(AZ64,0)</f>
        <v>1647785</v>
      </c>
      <c r="H783" s="276">
        <f>ROUND(AZ65,0)</f>
        <v>0</v>
      </c>
      <c r="I783" s="276">
        <f>ROUND(AZ66,0)</f>
        <v>171410</v>
      </c>
      <c r="J783" s="276">
        <f>ROUND(AZ67,0)</f>
        <v>777133</v>
      </c>
      <c r="K783" s="276">
        <f>ROUND(AZ68,0)</f>
        <v>8447</v>
      </c>
      <c r="L783" s="276">
        <f>ROUND(AZ69,0)</f>
        <v>644</v>
      </c>
      <c r="M783" s="276">
        <f>ROUND(AZ70,0)</f>
        <v>1442909</v>
      </c>
      <c r="N783" s="276"/>
      <c r="O783" s="276"/>
      <c r="P783" s="276">
        <f>IF(AZ76&gt;0,ROUND(AZ76,0),0)</f>
        <v>23579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164*2020*8350*A</v>
      </c>
      <c r="B784" s="276">
        <f>ROUND(BA59,0)</f>
        <v>0</v>
      </c>
      <c r="C784" s="278">
        <f>ROUND(BA60,2)</f>
        <v>5.17</v>
      </c>
      <c r="D784" s="276">
        <f>ROUND(BA61,0)</f>
        <v>240539</v>
      </c>
      <c r="E784" s="276">
        <f>ROUND(BA62,0)</f>
        <v>99160</v>
      </c>
      <c r="F784" s="276">
        <f>ROUND(BA63,0)</f>
        <v>0</v>
      </c>
      <c r="G784" s="276">
        <f>ROUND(BA64,0)</f>
        <v>20446</v>
      </c>
      <c r="H784" s="276">
        <f>ROUND(BA65,0)</f>
        <v>0</v>
      </c>
      <c r="I784" s="276">
        <f>ROUND(BA66,0)</f>
        <v>1349</v>
      </c>
      <c r="J784" s="276">
        <f>ROUND(BA67,0)</f>
        <v>7348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3589</v>
      </c>
      <c r="Q784" s="276">
        <f>IF(BA77&gt;0,ROUND(BA77,0),0)</f>
        <v>0</v>
      </c>
      <c r="R784" s="276">
        <f>IF(BA78&gt;0,ROUND(BA78,0),0)</f>
        <v>449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164*2020*8360*A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227840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164*2020*8370*A</v>
      </c>
      <c r="B786" s="276"/>
      <c r="C786" s="278">
        <f>ROUND(BC60,2)</f>
        <v>5.86</v>
      </c>
      <c r="D786" s="276">
        <f>ROUND(BC61,0)</f>
        <v>262418</v>
      </c>
      <c r="E786" s="276">
        <f>ROUND(BC62,0)</f>
        <v>62755</v>
      </c>
      <c r="F786" s="276">
        <f>ROUND(BC63,0)</f>
        <v>0</v>
      </c>
      <c r="G786" s="276">
        <f>ROUND(BC64,0)</f>
        <v>652</v>
      </c>
      <c r="H786" s="276">
        <f>ROUND(BC65,0)</f>
        <v>0</v>
      </c>
      <c r="I786" s="276">
        <f>ROUND(BC66,0)</f>
        <v>52</v>
      </c>
      <c r="J786" s="276">
        <f>ROUND(BC67,0)</f>
        <v>16371</v>
      </c>
      <c r="K786" s="276">
        <f>ROUND(BC68,0)</f>
        <v>0</v>
      </c>
      <c r="L786" s="276">
        <f>ROUND(BC69,0)</f>
        <v>361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164*2020*8420*A</v>
      </c>
      <c r="B787" s="276"/>
      <c r="C787" s="278">
        <f>ROUND(BD60,2)</f>
        <v>34.770000000000003</v>
      </c>
      <c r="D787" s="276">
        <f>ROUND(BD61,0)</f>
        <v>2157936</v>
      </c>
      <c r="E787" s="276">
        <f>ROUND(BD62,0)</f>
        <v>670298</v>
      </c>
      <c r="F787" s="276">
        <f>ROUND(BD63,0)</f>
        <v>0</v>
      </c>
      <c r="G787" s="276">
        <f>ROUND(BD64,0)</f>
        <v>34754</v>
      </c>
      <c r="H787" s="276">
        <f>ROUND(BD65,0)</f>
        <v>334</v>
      </c>
      <c r="I787" s="276">
        <f>ROUND(BD66,0)</f>
        <v>15679</v>
      </c>
      <c r="J787" s="276">
        <f>ROUND(BD67,0)</f>
        <v>75348</v>
      </c>
      <c r="K787" s="276">
        <f>ROUND(BD68,0)</f>
        <v>0</v>
      </c>
      <c r="L787" s="276">
        <f>ROUND(BD69,0)</f>
        <v>231474</v>
      </c>
      <c r="M787" s="276">
        <f>ROUND(BD70,0)</f>
        <v>7</v>
      </c>
      <c r="N787" s="276"/>
      <c r="O787" s="276"/>
      <c r="P787" s="276">
        <f>IF(BD76&gt;0,ROUND(BD76,0),0)</f>
        <v>9077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164*2020*8430*A</v>
      </c>
      <c r="B788" s="276">
        <f>ROUND(BE59,0)</f>
        <v>679195</v>
      </c>
      <c r="C788" s="278">
        <f>ROUND(BE60,2)</f>
        <v>49.53</v>
      </c>
      <c r="D788" s="276">
        <f>ROUND(BE61,0)</f>
        <v>3463629</v>
      </c>
      <c r="E788" s="276">
        <f>ROUND(BE62,0)</f>
        <v>972365</v>
      </c>
      <c r="F788" s="276">
        <f>ROUND(BE63,0)</f>
        <v>0</v>
      </c>
      <c r="G788" s="276">
        <f>ROUND(BE64,0)</f>
        <v>754460</v>
      </c>
      <c r="H788" s="276">
        <f>ROUND(BE65,0)</f>
        <v>3913308</v>
      </c>
      <c r="I788" s="276">
        <f>ROUND(BE66,0)</f>
        <v>2709894</v>
      </c>
      <c r="J788" s="276">
        <f>ROUND(BE67,0)</f>
        <v>6227962</v>
      </c>
      <c r="K788" s="276">
        <f>ROUND(BE68,0)</f>
        <v>2955909</v>
      </c>
      <c r="L788" s="276">
        <f>ROUND(BE69,0)</f>
        <v>191917</v>
      </c>
      <c r="M788" s="276">
        <f>ROUND(BE70,0)</f>
        <v>6737497</v>
      </c>
      <c r="N788" s="276"/>
      <c r="O788" s="276"/>
      <c r="P788" s="276">
        <f>IF(BE76&gt;0,ROUND(BE76,0),0)</f>
        <v>679195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164*2020*8460*A</v>
      </c>
      <c r="B789" s="276"/>
      <c r="C789" s="278">
        <f>ROUND(BF60,2)</f>
        <v>96.14</v>
      </c>
      <c r="D789" s="276">
        <f>ROUND(BF61,0)</f>
        <v>4440455</v>
      </c>
      <c r="E789" s="276">
        <f>ROUND(BF62,0)</f>
        <v>1611247</v>
      </c>
      <c r="F789" s="276">
        <f>ROUND(BF63,0)</f>
        <v>0</v>
      </c>
      <c r="G789" s="276">
        <f>ROUND(BF64,0)</f>
        <v>343736</v>
      </c>
      <c r="H789" s="276">
        <f>ROUND(BF65,0)</f>
        <v>474053</v>
      </c>
      <c r="I789" s="276">
        <f>ROUND(BF66,0)</f>
        <v>-940340</v>
      </c>
      <c r="J789" s="276">
        <f>ROUND(BF67,0)</f>
        <v>61561</v>
      </c>
      <c r="K789" s="276">
        <f>ROUND(BF68,0)</f>
        <v>0</v>
      </c>
      <c r="L789" s="276">
        <f>ROUND(BF69,0)</f>
        <v>385</v>
      </c>
      <c r="M789" s="276">
        <f>ROUND(BF70,0)</f>
        <v>8589</v>
      </c>
      <c r="N789" s="276"/>
      <c r="O789" s="276"/>
      <c r="P789" s="276">
        <f>IF(BF76&gt;0,ROUND(BF76,0),0)</f>
        <v>9629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164*2020*8470*A</v>
      </c>
      <c r="B790" s="276"/>
      <c r="C790" s="278">
        <f>ROUND(BG60,2)</f>
        <v>17.829999999999998</v>
      </c>
      <c r="D790" s="276">
        <f>ROUND(BG61,0)</f>
        <v>1059215</v>
      </c>
      <c r="E790" s="276">
        <f>ROUND(BG62,0)</f>
        <v>310742</v>
      </c>
      <c r="F790" s="276">
        <f>ROUND(BG63,0)</f>
        <v>3886</v>
      </c>
      <c r="G790" s="276">
        <f>ROUND(BG64,0)</f>
        <v>133319</v>
      </c>
      <c r="H790" s="276">
        <f>ROUND(BG65,0)</f>
        <v>1179992</v>
      </c>
      <c r="I790" s="276">
        <f>ROUND(BG66,0)</f>
        <v>202480</v>
      </c>
      <c r="J790" s="276">
        <f>ROUND(BG67,0)</f>
        <v>25438</v>
      </c>
      <c r="K790" s="276">
        <f>ROUND(BG68,0)</f>
        <v>9527</v>
      </c>
      <c r="L790" s="276">
        <f>ROUND(BG69,0)</f>
        <v>530</v>
      </c>
      <c r="M790" s="276">
        <f>ROUND(BG70,0)</f>
        <v>304516</v>
      </c>
      <c r="N790" s="276"/>
      <c r="O790" s="276"/>
      <c r="P790" s="276">
        <f>IF(BG76&gt;0,ROUND(BG76,0),0)</f>
        <v>5077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164*2020*8480*A</v>
      </c>
      <c r="B791" s="276"/>
      <c r="C791" s="278">
        <f>ROUND(BH60,2)</f>
        <v>119.86</v>
      </c>
      <c r="D791" s="276">
        <f>ROUND(BH61,0)</f>
        <v>13231920</v>
      </c>
      <c r="E791" s="276">
        <f>ROUND(BH62,0)</f>
        <v>2911016</v>
      </c>
      <c r="F791" s="276">
        <f>ROUND(BH63,0)</f>
        <v>0</v>
      </c>
      <c r="G791" s="276">
        <f>ROUND(BH64,0)</f>
        <v>1220774</v>
      </c>
      <c r="H791" s="276">
        <f>ROUND(BH65,0)</f>
        <v>4139</v>
      </c>
      <c r="I791" s="276">
        <f>ROUND(BH66,0)</f>
        <v>12170935</v>
      </c>
      <c r="J791" s="276">
        <f>ROUND(BH67,0)</f>
        <v>5630224</v>
      </c>
      <c r="K791" s="276">
        <f>ROUND(BH68,0)</f>
        <v>0</v>
      </c>
      <c r="L791" s="276">
        <f>ROUND(BH69,0)</f>
        <v>44889</v>
      </c>
      <c r="M791" s="276">
        <f>ROUND(BH70,0)</f>
        <v>94262</v>
      </c>
      <c r="N791" s="276"/>
      <c r="O791" s="276"/>
      <c r="P791" s="276">
        <f>IF(BH76&gt;0,ROUND(BH76,0),0)</f>
        <v>24834</v>
      </c>
      <c r="Q791" s="276">
        <f>IF(BH77&gt;0,ROUND(BH77,0),0)</f>
        <v>0</v>
      </c>
      <c r="R791" s="276">
        <f>IF(BH78&gt;0,ROUND(BH78,0),0)</f>
        <v>3105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164*2020*8490*A</v>
      </c>
      <c r="B792" s="276"/>
      <c r="C792" s="278">
        <f>ROUND(BI60,2)</f>
        <v>57.81</v>
      </c>
      <c r="D792" s="276">
        <f>ROUND(BI61,0)</f>
        <v>5509727</v>
      </c>
      <c r="E792" s="276">
        <f>ROUND(BI62,0)</f>
        <v>436089</v>
      </c>
      <c r="F792" s="276">
        <f>ROUND(BI63,0)</f>
        <v>675482</v>
      </c>
      <c r="G792" s="276">
        <f>ROUND(BI64,0)</f>
        <v>4404886</v>
      </c>
      <c r="H792" s="276">
        <f>ROUND(BI65,0)</f>
        <v>1487</v>
      </c>
      <c r="I792" s="276">
        <f>ROUND(BI66,0)</f>
        <v>1983108</v>
      </c>
      <c r="J792" s="276">
        <f>ROUND(BI67,0)</f>
        <v>188525</v>
      </c>
      <c r="K792" s="276">
        <f>ROUND(BI68,0)</f>
        <v>1250677</v>
      </c>
      <c r="L792" s="276">
        <f>ROUND(BI69,0)</f>
        <v>13506</v>
      </c>
      <c r="M792" s="276">
        <f>ROUND(BI70,0)</f>
        <v>2194638</v>
      </c>
      <c r="N792" s="276"/>
      <c r="O792" s="276"/>
      <c r="P792" s="276">
        <f>IF(BI76&gt;0,ROUND(BI76,0),0)</f>
        <v>26210</v>
      </c>
      <c r="Q792" s="276">
        <f>IF(BI77&gt;0,ROUND(BI77,0),0)</f>
        <v>0</v>
      </c>
      <c r="R792" s="276">
        <f>IF(BI78&gt;0,ROUND(BI78,0),0)</f>
        <v>3278</v>
      </c>
      <c r="S792" s="276">
        <f>IF(BI79&gt;0,ROUND(BI79,0),0)</f>
        <v>28201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164*2020*8510*A</v>
      </c>
      <c r="B793" s="276"/>
      <c r="C793" s="278">
        <f>ROUND(BJ60,2)</f>
        <v>17.48</v>
      </c>
      <c r="D793" s="276">
        <f>ROUND(BJ61,0)</f>
        <v>1454062</v>
      </c>
      <c r="E793" s="276">
        <f>ROUND(BJ62,0)</f>
        <v>386281</v>
      </c>
      <c r="F793" s="276">
        <f>ROUND(BJ63,0)</f>
        <v>81219</v>
      </c>
      <c r="G793" s="276">
        <f>ROUND(BJ64,0)</f>
        <v>14357</v>
      </c>
      <c r="H793" s="276">
        <f>ROUND(BJ65,0)</f>
        <v>0</v>
      </c>
      <c r="I793" s="276">
        <f>ROUND(BJ66,0)</f>
        <v>69970</v>
      </c>
      <c r="J793" s="276">
        <f>ROUND(BJ67,0)</f>
        <v>20640</v>
      </c>
      <c r="K793" s="276">
        <f>ROUND(BJ68,0)</f>
        <v>0</v>
      </c>
      <c r="L793" s="276">
        <f>ROUND(BJ69,0)</f>
        <v>3053</v>
      </c>
      <c r="M793" s="276">
        <f>ROUND(BJ70,0)</f>
        <v>170477</v>
      </c>
      <c r="N793" s="276"/>
      <c r="O793" s="276"/>
      <c r="P793" s="276">
        <f>IF(BJ76&gt;0,ROUND(BJ76,0),0)</f>
        <v>4555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164*2020*8530*A</v>
      </c>
      <c r="B794" s="276"/>
      <c r="C794" s="278">
        <f>ROUND(BK60,2)</f>
        <v>85.17</v>
      </c>
      <c r="D794" s="276">
        <f>ROUND(BK61,0)</f>
        <v>4874188</v>
      </c>
      <c r="E794" s="276">
        <f>ROUND(BK62,0)</f>
        <v>1528603</v>
      </c>
      <c r="F794" s="276">
        <f>ROUND(BK63,0)</f>
        <v>328948</v>
      </c>
      <c r="G794" s="276">
        <f>ROUND(BK64,0)</f>
        <v>80024</v>
      </c>
      <c r="H794" s="276">
        <f>ROUND(BK65,0)</f>
        <v>1013</v>
      </c>
      <c r="I794" s="276">
        <f>ROUND(BK66,0)</f>
        <v>2863308</v>
      </c>
      <c r="J794" s="276">
        <f>ROUND(BK67,0)</f>
        <v>59335</v>
      </c>
      <c r="K794" s="276">
        <f>ROUND(BK68,0)</f>
        <v>24184</v>
      </c>
      <c r="L794" s="276">
        <f>ROUND(BK69,0)</f>
        <v>2991</v>
      </c>
      <c r="M794" s="276">
        <f>ROUND(BK70,0)</f>
        <v>12815</v>
      </c>
      <c r="N794" s="276"/>
      <c r="O794" s="276"/>
      <c r="P794" s="276">
        <f>IF(BK76&gt;0,ROUND(BK76,0),0)</f>
        <v>11014</v>
      </c>
      <c r="Q794" s="276">
        <f>IF(BK77&gt;0,ROUND(BK77,0),0)</f>
        <v>0</v>
      </c>
      <c r="R794" s="276">
        <f>IF(BK78&gt;0,ROUND(BK78,0),0)</f>
        <v>1377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164*2020*8560*A</v>
      </c>
      <c r="B795" s="276"/>
      <c r="C795" s="278">
        <f>ROUND(BL60,2)</f>
        <v>72.77</v>
      </c>
      <c r="D795" s="276">
        <f>ROUND(BL61,0)</f>
        <v>3859479</v>
      </c>
      <c r="E795" s="276">
        <f>ROUND(BL62,0)</f>
        <v>1306572</v>
      </c>
      <c r="F795" s="276">
        <f>ROUND(BL63,0)</f>
        <v>1824</v>
      </c>
      <c r="G795" s="276">
        <f>ROUND(BL64,0)</f>
        <v>42535</v>
      </c>
      <c r="H795" s="276">
        <f>ROUND(BL65,0)</f>
        <v>671</v>
      </c>
      <c r="I795" s="276">
        <f>ROUND(BL66,0)</f>
        <v>493849</v>
      </c>
      <c r="J795" s="276">
        <f>ROUND(BL67,0)</f>
        <v>28351</v>
      </c>
      <c r="K795" s="276">
        <f>ROUND(BL68,0)</f>
        <v>0</v>
      </c>
      <c r="L795" s="276">
        <f>ROUND(BL69,0)</f>
        <v>1069</v>
      </c>
      <c r="M795" s="276">
        <f>ROUND(BL70,0)</f>
        <v>415605</v>
      </c>
      <c r="N795" s="276"/>
      <c r="O795" s="276"/>
      <c r="P795" s="276">
        <f>IF(BL76&gt;0,ROUND(BL76,0),0)</f>
        <v>5010</v>
      </c>
      <c r="Q795" s="276">
        <f>IF(BL77&gt;0,ROUND(BL77,0),0)</f>
        <v>0</v>
      </c>
      <c r="R795" s="276">
        <f>IF(BL78&gt;0,ROUND(BL78,0),0)</f>
        <v>627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164*2020*8590*A</v>
      </c>
      <c r="B796" s="276"/>
      <c r="C796" s="278">
        <f>ROUND(BM60,2)</f>
        <v>35.54</v>
      </c>
      <c r="D796" s="276">
        <f>ROUND(BM61,0)</f>
        <v>3142779</v>
      </c>
      <c r="E796" s="276">
        <f>ROUND(BM62,0)</f>
        <v>893768</v>
      </c>
      <c r="F796" s="276">
        <f>ROUND(BM63,0)</f>
        <v>60000</v>
      </c>
      <c r="G796" s="276">
        <f>ROUND(BM64,0)</f>
        <v>29573</v>
      </c>
      <c r="H796" s="276">
        <f>ROUND(BM65,0)</f>
        <v>0</v>
      </c>
      <c r="I796" s="276">
        <f>ROUND(BM66,0)</f>
        <v>665579</v>
      </c>
      <c r="J796" s="276">
        <f>ROUND(BM67,0)</f>
        <v>18004</v>
      </c>
      <c r="K796" s="276">
        <f>ROUND(BM68,0)</f>
        <v>0</v>
      </c>
      <c r="L796" s="276">
        <f>ROUND(BM69,0)</f>
        <v>23775</v>
      </c>
      <c r="M796" s="276">
        <f>ROUND(BM70,0)</f>
        <v>0</v>
      </c>
      <c r="N796" s="276"/>
      <c r="O796" s="276"/>
      <c r="P796" s="276">
        <f>IF(BM76&gt;0,ROUND(BM76,0),0)</f>
        <v>4678</v>
      </c>
      <c r="Q796" s="276">
        <f>IF(BM77&gt;0,ROUND(BM77,0),0)</f>
        <v>0</v>
      </c>
      <c r="R796" s="276">
        <f>IF(BM78&gt;0,ROUND(BM78,0),0)</f>
        <v>585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164*2020*8610*A</v>
      </c>
      <c r="B797" s="276"/>
      <c r="C797" s="278">
        <f>ROUND(BN60,2)</f>
        <v>23</v>
      </c>
      <c r="D797" s="276">
        <f>ROUND(BN61,0)</f>
        <v>5988294</v>
      </c>
      <c r="E797" s="276">
        <f>ROUND(BN62,0)</f>
        <v>1016450</v>
      </c>
      <c r="F797" s="276">
        <f>ROUND(BN63,0)</f>
        <v>2219577</v>
      </c>
      <c r="G797" s="276">
        <f>ROUND(BN64,0)</f>
        <v>21448</v>
      </c>
      <c r="H797" s="276">
        <f>ROUND(BN65,0)</f>
        <v>0</v>
      </c>
      <c r="I797" s="276">
        <f>ROUND(BN66,0)</f>
        <v>354412</v>
      </c>
      <c r="J797" s="276">
        <f>ROUND(BN67,0)</f>
        <v>228752</v>
      </c>
      <c r="K797" s="276">
        <f>ROUND(BN68,0)</f>
        <v>0</v>
      </c>
      <c r="L797" s="276">
        <f>ROUND(BN69,0)</f>
        <v>816534</v>
      </c>
      <c r="M797" s="276">
        <f>ROUND(BN70,0)</f>
        <v>0</v>
      </c>
      <c r="N797" s="276"/>
      <c r="O797" s="276"/>
      <c r="P797" s="276">
        <f>IF(BN76&gt;0,ROUND(BN76,0),0)</f>
        <v>14258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164*2020*8620*A</v>
      </c>
      <c r="B798" s="276"/>
      <c r="C798" s="278">
        <f>ROUND(BO60,2)</f>
        <v>7.79</v>
      </c>
      <c r="D798" s="276">
        <f>ROUND(BO61,0)</f>
        <v>927812</v>
      </c>
      <c r="E798" s="276">
        <f>ROUND(BO62,0)</f>
        <v>176258</v>
      </c>
      <c r="F798" s="276">
        <f>ROUND(BO63,0)</f>
        <v>401</v>
      </c>
      <c r="G798" s="276">
        <f>ROUND(BO64,0)</f>
        <v>86518</v>
      </c>
      <c r="H798" s="276">
        <f>ROUND(BO65,0)</f>
        <v>0</v>
      </c>
      <c r="I798" s="276">
        <f>ROUND(BO66,0)</f>
        <v>43244</v>
      </c>
      <c r="J798" s="276">
        <f>ROUND(BO67,0)</f>
        <v>46835</v>
      </c>
      <c r="K798" s="276">
        <f>ROUND(BO68,0)</f>
        <v>0</v>
      </c>
      <c r="L798" s="276">
        <f>ROUND(BO69,0)</f>
        <v>1233</v>
      </c>
      <c r="M798" s="276">
        <f>ROUND(BO70,0)</f>
        <v>230</v>
      </c>
      <c r="N798" s="276"/>
      <c r="O798" s="276"/>
      <c r="P798" s="276">
        <f>IF(BO76&gt;0,ROUND(BO76,0),0)</f>
        <v>2082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164*2020*8630*A</v>
      </c>
      <c r="B799" s="276"/>
      <c r="C799" s="278">
        <f>ROUND(BP60,2)</f>
        <v>8.36</v>
      </c>
      <c r="D799" s="276">
        <f>ROUND(BP61,0)</f>
        <v>872536</v>
      </c>
      <c r="E799" s="276">
        <f>ROUND(BP62,0)</f>
        <v>304716</v>
      </c>
      <c r="F799" s="276">
        <f>ROUND(BP63,0)</f>
        <v>397320</v>
      </c>
      <c r="G799" s="276">
        <f>ROUND(BP64,0)</f>
        <v>215532</v>
      </c>
      <c r="H799" s="276">
        <f>ROUND(BP65,0)</f>
        <v>403</v>
      </c>
      <c r="I799" s="276">
        <f>ROUND(BP66,0)</f>
        <v>3961782</v>
      </c>
      <c r="J799" s="276">
        <f>ROUND(BP67,0)</f>
        <v>75168</v>
      </c>
      <c r="K799" s="276">
        <f>ROUND(BP68,0)</f>
        <v>0</v>
      </c>
      <c r="L799" s="276">
        <f>ROUND(BP69,0)</f>
        <v>17860</v>
      </c>
      <c r="M799" s="276">
        <f>ROUND(BP70,0)</f>
        <v>0</v>
      </c>
      <c r="N799" s="276"/>
      <c r="O799" s="276"/>
      <c r="P799" s="276">
        <f>IF(BP76&gt;0,ROUND(BP76,0),0)</f>
        <v>1894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164*2020*8640*A</v>
      </c>
      <c r="B800" s="276"/>
      <c r="C800" s="278">
        <f>ROUND(BQ60,2)</f>
        <v>4.37</v>
      </c>
      <c r="D800" s="276">
        <f>ROUND(BQ61,0)</f>
        <v>522785</v>
      </c>
      <c r="E800" s="276">
        <f>ROUND(BQ62,0)</f>
        <v>117533</v>
      </c>
      <c r="F800" s="276">
        <f>ROUND(BQ63,0)</f>
        <v>0</v>
      </c>
      <c r="G800" s="276">
        <f>ROUND(BQ64,0)</f>
        <v>4352</v>
      </c>
      <c r="H800" s="276">
        <f>ROUND(BQ65,0)</f>
        <v>0</v>
      </c>
      <c r="I800" s="276">
        <f>ROUND(BQ66,0)</f>
        <v>5340</v>
      </c>
      <c r="J800" s="276">
        <f>ROUND(BQ67,0)</f>
        <v>4095</v>
      </c>
      <c r="K800" s="276">
        <f>ROUND(BQ68,0)</f>
        <v>0</v>
      </c>
      <c r="L800" s="276">
        <f>ROUND(BQ69,0)</f>
        <v>1384</v>
      </c>
      <c r="M800" s="276">
        <f>ROUND(BQ70,0)</f>
        <v>0</v>
      </c>
      <c r="N800" s="276"/>
      <c r="O800" s="276"/>
      <c r="P800" s="276">
        <f>IF(BQ76&gt;0,ROUND(BQ76,0),0)</f>
        <v>1677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164*2020*8650*A</v>
      </c>
      <c r="B801" s="276"/>
      <c r="C801" s="278">
        <f>ROUND(BR60,2)</f>
        <v>29.21</v>
      </c>
      <c r="D801" s="276">
        <f>ROUND(BR61,0)</f>
        <v>2210623</v>
      </c>
      <c r="E801" s="276">
        <f>ROUND(BR62,0)</f>
        <v>805516</v>
      </c>
      <c r="F801" s="276">
        <f>ROUND(BR63,0)</f>
        <v>1129083</v>
      </c>
      <c r="G801" s="276">
        <f>ROUND(BR64,0)</f>
        <v>31986</v>
      </c>
      <c r="H801" s="276">
        <f>ROUND(BR65,0)</f>
        <v>0</v>
      </c>
      <c r="I801" s="276">
        <f>ROUND(BR66,0)</f>
        <v>600586</v>
      </c>
      <c r="J801" s="276">
        <f>ROUND(BR67,0)</f>
        <v>11447</v>
      </c>
      <c r="K801" s="276">
        <f>ROUND(BR68,0)</f>
        <v>150</v>
      </c>
      <c r="L801" s="276">
        <f>ROUND(BR69,0)</f>
        <v>25816</v>
      </c>
      <c r="M801" s="276">
        <f>ROUND(BR70,0)</f>
        <v>42</v>
      </c>
      <c r="N801" s="276"/>
      <c r="O801" s="276"/>
      <c r="P801" s="276">
        <f>IF(BR76&gt;0,ROUND(BR76,0),0)</f>
        <v>3400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164*2020*8660*A</v>
      </c>
      <c r="B802" s="276"/>
      <c r="C802" s="278">
        <f>ROUND(BS60,2)</f>
        <v>4.51</v>
      </c>
      <c r="D802" s="276">
        <f>ROUND(BS61,0)</f>
        <v>284734</v>
      </c>
      <c r="E802" s="276">
        <f>ROUND(BS62,0)</f>
        <v>81637</v>
      </c>
      <c r="F802" s="276">
        <f>ROUND(BS63,0)</f>
        <v>0</v>
      </c>
      <c r="G802" s="276">
        <f>ROUND(BS64,0)</f>
        <v>272119</v>
      </c>
      <c r="H802" s="276">
        <f>ROUND(BS65,0)</f>
        <v>1172</v>
      </c>
      <c r="I802" s="276">
        <f>ROUND(BS66,0)</f>
        <v>10835</v>
      </c>
      <c r="J802" s="276">
        <f>ROUND(BS67,0)</f>
        <v>16972</v>
      </c>
      <c r="K802" s="276">
        <f>ROUND(BS68,0)</f>
        <v>0</v>
      </c>
      <c r="L802" s="276">
        <f>ROUND(BS69,0)</f>
        <v>0</v>
      </c>
      <c r="M802" s="276">
        <f>ROUND(BS70,0)</f>
        <v>458883</v>
      </c>
      <c r="N802" s="276"/>
      <c r="O802" s="276"/>
      <c r="P802" s="276">
        <f>IF(BS76&gt;0,ROUND(BS76,0),0)</f>
        <v>5109</v>
      </c>
      <c r="Q802" s="276">
        <f>IF(BS77&gt;0,ROUND(BS77,0),0)</f>
        <v>0</v>
      </c>
      <c r="R802" s="276">
        <f>IF(BS78&gt;0,ROUND(BS78,0),0)</f>
        <v>639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164*2020*8670*A</v>
      </c>
      <c r="B803" s="276"/>
      <c r="C803" s="278">
        <f>ROUND(BT60,2)</f>
        <v>1.76</v>
      </c>
      <c r="D803" s="276">
        <f>ROUND(BT61,0)</f>
        <v>126162</v>
      </c>
      <c r="E803" s="276">
        <f>ROUND(BT62,0)</f>
        <v>53256</v>
      </c>
      <c r="F803" s="276">
        <f>ROUND(BT63,0)</f>
        <v>0</v>
      </c>
      <c r="G803" s="276">
        <f>ROUND(BT64,0)</f>
        <v>587</v>
      </c>
      <c r="H803" s="276">
        <f>ROUND(BT65,0)</f>
        <v>3262</v>
      </c>
      <c r="I803" s="276">
        <f>ROUND(BT66,0)</f>
        <v>502</v>
      </c>
      <c r="J803" s="276">
        <f>ROUND(BT67,0)</f>
        <v>20494</v>
      </c>
      <c r="K803" s="276">
        <f>ROUND(BT68,0)</f>
        <v>0</v>
      </c>
      <c r="L803" s="276">
        <f>ROUND(BT69,0)</f>
        <v>281</v>
      </c>
      <c r="M803" s="276">
        <f>ROUND(BT70,0)</f>
        <v>49</v>
      </c>
      <c r="N803" s="276"/>
      <c r="O803" s="276"/>
      <c r="P803" s="276">
        <f>IF(BT76&gt;0,ROUND(BT76,0),0)</f>
        <v>947</v>
      </c>
      <c r="Q803" s="276">
        <f>IF(BT77&gt;0,ROUND(BT77,0),0)</f>
        <v>0</v>
      </c>
      <c r="R803" s="276">
        <f>IF(BT78&gt;0,ROUND(BT78,0),0)</f>
        <v>118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164*2020*8680*A</v>
      </c>
      <c r="B804" s="276"/>
      <c r="C804" s="278">
        <f>ROUND(BU60,2)</f>
        <v>0</v>
      </c>
      <c r="D804" s="276">
        <f>ROUND(BU61,0)</f>
        <v>147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293508</v>
      </c>
      <c r="M804" s="276">
        <f>ROUND(BU70,0)</f>
        <v>15000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164*2020*8690*A</v>
      </c>
      <c r="B805" s="276"/>
      <c r="C805" s="278">
        <f>ROUND(BV60,2)</f>
        <v>53.15</v>
      </c>
      <c r="D805" s="276">
        <f>ROUND(BV61,0)</f>
        <v>3465444</v>
      </c>
      <c r="E805" s="276">
        <f>ROUND(BV62,0)</f>
        <v>1116111</v>
      </c>
      <c r="F805" s="276">
        <f>ROUND(BV63,0)</f>
        <v>0</v>
      </c>
      <c r="G805" s="276">
        <f>ROUND(BV64,0)</f>
        <v>12262</v>
      </c>
      <c r="H805" s="276">
        <f>ROUND(BV65,0)</f>
        <v>0</v>
      </c>
      <c r="I805" s="276">
        <f>ROUND(BV66,0)</f>
        <v>1330803</v>
      </c>
      <c r="J805" s="276">
        <f>ROUND(BV67,0)</f>
        <v>69022</v>
      </c>
      <c r="K805" s="276">
        <f>ROUND(BV68,0)</f>
        <v>69016</v>
      </c>
      <c r="L805" s="276">
        <f>ROUND(BV69,0)</f>
        <v>6902</v>
      </c>
      <c r="M805" s="276">
        <f>ROUND(BV70,0)</f>
        <v>1290</v>
      </c>
      <c r="N805" s="276"/>
      <c r="O805" s="276"/>
      <c r="P805" s="276">
        <f>IF(BV76&gt;0,ROUND(BV76,0),0)</f>
        <v>17194</v>
      </c>
      <c r="Q805" s="276">
        <f>IF(BV77&gt;0,ROUND(BV77,0),0)</f>
        <v>0</v>
      </c>
      <c r="R805" s="276">
        <f>IF(BV78&gt;0,ROUND(BV78,0),0)</f>
        <v>2150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164*2020*8700*A</v>
      </c>
      <c r="B806" s="276"/>
      <c r="C806" s="278">
        <f>ROUND(BW60,2)</f>
        <v>7.77</v>
      </c>
      <c r="D806" s="276">
        <f>ROUND(BW61,0)</f>
        <v>1398031</v>
      </c>
      <c r="E806" s="276">
        <f>ROUND(BW62,0)</f>
        <v>153926</v>
      </c>
      <c r="F806" s="276">
        <f>ROUND(BW63,0)</f>
        <v>1767208</v>
      </c>
      <c r="G806" s="276">
        <f>ROUND(BW64,0)</f>
        <v>9673</v>
      </c>
      <c r="H806" s="276">
        <f>ROUND(BW65,0)</f>
        <v>0</v>
      </c>
      <c r="I806" s="276">
        <f>ROUND(BW66,0)</f>
        <v>301653</v>
      </c>
      <c r="J806" s="276">
        <f>ROUND(BW67,0)</f>
        <v>23861</v>
      </c>
      <c r="K806" s="276">
        <f>ROUND(BW68,0)</f>
        <v>0</v>
      </c>
      <c r="L806" s="276">
        <f>ROUND(BW69,0)</f>
        <v>17454</v>
      </c>
      <c r="M806" s="276">
        <f>ROUND(BW70,0)</f>
        <v>116410</v>
      </c>
      <c r="N806" s="276"/>
      <c r="O806" s="276"/>
      <c r="P806" s="276">
        <f>IF(BW76&gt;0,ROUND(BW76,0),0)</f>
        <v>3446</v>
      </c>
      <c r="Q806" s="276">
        <f>IF(BW77&gt;0,ROUND(BW77,0),0)</f>
        <v>0</v>
      </c>
      <c r="R806" s="276">
        <f>IF(BW78&gt;0,ROUND(BW78,0),0)</f>
        <v>431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164*2020*8710*A</v>
      </c>
      <c r="B807" s="276"/>
      <c r="C807" s="278">
        <f>ROUND(BX60,2)</f>
        <v>51.28</v>
      </c>
      <c r="D807" s="276">
        <f>ROUND(BX61,0)</f>
        <v>5759774</v>
      </c>
      <c r="E807" s="276">
        <f>ROUND(BX62,0)</f>
        <v>1305348</v>
      </c>
      <c r="F807" s="276">
        <f>ROUND(BX63,0)</f>
        <v>479352</v>
      </c>
      <c r="G807" s="276">
        <f>ROUND(BX64,0)</f>
        <v>31145</v>
      </c>
      <c r="H807" s="276">
        <f>ROUND(BX65,0)</f>
        <v>2405</v>
      </c>
      <c r="I807" s="276">
        <f>ROUND(BX66,0)</f>
        <v>344571</v>
      </c>
      <c r="J807" s="276">
        <f>ROUND(BX67,0)</f>
        <v>16059</v>
      </c>
      <c r="K807" s="276">
        <f>ROUND(BX68,0)</f>
        <v>0</v>
      </c>
      <c r="L807" s="276">
        <f>ROUND(BX69,0)</f>
        <v>34895</v>
      </c>
      <c r="M807" s="276">
        <f>ROUND(BX70,0)</f>
        <v>847146</v>
      </c>
      <c r="N807" s="276"/>
      <c r="O807" s="276"/>
      <c r="P807" s="276">
        <f>IF(BX76&gt;0,ROUND(BX76,0),0)</f>
        <v>3549</v>
      </c>
      <c r="Q807" s="276">
        <f>IF(BX77&gt;0,ROUND(BX77,0),0)</f>
        <v>0</v>
      </c>
      <c r="R807" s="276">
        <f>IF(BX78&gt;0,ROUND(BX78,0),0)</f>
        <v>444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164*2020*8720*A</v>
      </c>
      <c r="B808" s="276"/>
      <c r="C808" s="278">
        <f>ROUND(BY60,2)</f>
        <v>12.07</v>
      </c>
      <c r="D808" s="276">
        <f>ROUND(BY61,0)</f>
        <v>1181073</v>
      </c>
      <c r="E808" s="276">
        <f>ROUND(BY62,0)</f>
        <v>345927</v>
      </c>
      <c r="F808" s="276">
        <f>ROUND(BY63,0)</f>
        <v>40000</v>
      </c>
      <c r="G808" s="276">
        <f>ROUND(BY64,0)</f>
        <v>6370</v>
      </c>
      <c r="H808" s="276">
        <f>ROUND(BY65,0)</f>
        <v>1695</v>
      </c>
      <c r="I808" s="276">
        <f>ROUND(BY66,0)</f>
        <v>24414</v>
      </c>
      <c r="J808" s="276">
        <f>ROUND(BY67,0)</f>
        <v>269177</v>
      </c>
      <c r="K808" s="276">
        <f>ROUND(BY68,0)</f>
        <v>0</v>
      </c>
      <c r="L808" s="276">
        <f>ROUND(BY69,0)</f>
        <v>12262</v>
      </c>
      <c r="M808" s="276">
        <f>ROUND(BY70,0)</f>
        <v>0</v>
      </c>
      <c r="N808" s="276"/>
      <c r="O808" s="276"/>
      <c r="P808" s="276">
        <f>IF(BY76&gt;0,ROUND(BY76,0),0)</f>
        <v>1319</v>
      </c>
      <c r="Q808" s="276">
        <f>IF(BY77&gt;0,ROUND(BY77,0),0)</f>
        <v>0</v>
      </c>
      <c r="R808" s="276">
        <f>IF(BY78&gt;0,ROUND(BY78,0),0)</f>
        <v>165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164*2020*8730*A</v>
      </c>
      <c r="B809" s="276"/>
      <c r="C809" s="278">
        <f>ROUND(BZ60,2)</f>
        <v>45.08</v>
      </c>
      <c r="D809" s="276">
        <f>ROUND(BZ61,0)</f>
        <v>4019580</v>
      </c>
      <c r="E809" s="276">
        <f>ROUND(BZ62,0)</f>
        <v>1404739</v>
      </c>
      <c r="F809" s="276">
        <f>ROUND(BZ63,0)</f>
        <v>0</v>
      </c>
      <c r="G809" s="276">
        <f>ROUND(BZ64,0)</f>
        <v>14011</v>
      </c>
      <c r="H809" s="276">
        <f>ROUND(BZ65,0)</f>
        <v>0</v>
      </c>
      <c r="I809" s="276">
        <f>ROUND(BZ66,0)</f>
        <v>631</v>
      </c>
      <c r="J809" s="276">
        <f>ROUND(BZ67,0)</f>
        <v>10052</v>
      </c>
      <c r="K809" s="276">
        <f>ROUND(BZ68,0)</f>
        <v>0</v>
      </c>
      <c r="L809" s="276">
        <f>ROUND(BZ69,0)</f>
        <v>463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164*2020*8740*A</v>
      </c>
      <c r="B810" s="276"/>
      <c r="C810" s="278">
        <f>ROUND(CA60,2)</f>
        <v>14.78</v>
      </c>
      <c r="D810" s="276">
        <f>ROUND(CA61,0)</f>
        <v>1483296</v>
      </c>
      <c r="E810" s="276">
        <f>ROUND(CA62,0)</f>
        <v>362051</v>
      </c>
      <c r="F810" s="276">
        <f>ROUND(CA63,0)</f>
        <v>0</v>
      </c>
      <c r="G810" s="276">
        <f>ROUND(CA64,0)</f>
        <v>223537</v>
      </c>
      <c r="H810" s="276">
        <f>ROUND(CA65,0)</f>
        <v>0</v>
      </c>
      <c r="I810" s="276">
        <f>ROUND(CA66,0)</f>
        <v>229509</v>
      </c>
      <c r="J810" s="276">
        <f>ROUND(CA67,0)</f>
        <v>5112</v>
      </c>
      <c r="K810" s="276">
        <f>ROUND(CA68,0)</f>
        <v>5500</v>
      </c>
      <c r="L810" s="276">
        <f>ROUND(CA69,0)</f>
        <v>394399</v>
      </c>
      <c r="M810" s="276">
        <f>ROUND(CA70,0)</f>
        <v>0</v>
      </c>
      <c r="N810" s="276"/>
      <c r="O810" s="276"/>
      <c r="P810" s="276">
        <f>IF(CA76&gt;0,ROUND(CA76,0),0)</f>
        <v>5571</v>
      </c>
      <c r="Q810" s="276">
        <f>IF(CA77&gt;0,ROUND(CA77,0),0)</f>
        <v>0</v>
      </c>
      <c r="R810" s="276">
        <f>IF(CA78&gt;0,ROUND(CA78,0),0)</f>
        <v>697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164*2020*8770*A</v>
      </c>
      <c r="B811" s="276"/>
      <c r="C811" s="278">
        <f>ROUND(CB60,2)</f>
        <v>70.239999999999995</v>
      </c>
      <c r="D811" s="276">
        <f>ROUND(CB61,0)</f>
        <v>5442969</v>
      </c>
      <c r="E811" s="276">
        <f>ROUND(CB62,0)</f>
        <v>1514611</v>
      </c>
      <c r="F811" s="276">
        <f>ROUND(CB63,0)</f>
        <v>413</v>
      </c>
      <c r="G811" s="276">
        <f>ROUND(CB64,0)</f>
        <v>58014</v>
      </c>
      <c r="H811" s="276">
        <f>ROUND(CB65,0)</f>
        <v>15578</v>
      </c>
      <c r="I811" s="276">
        <f>ROUND(CB66,0)</f>
        <v>124009</v>
      </c>
      <c r="J811" s="276">
        <f>ROUND(CB67,0)</f>
        <v>34354</v>
      </c>
      <c r="K811" s="276">
        <f>ROUND(CB68,0)</f>
        <v>141179</v>
      </c>
      <c r="L811" s="276">
        <f>ROUND(CB69,0)</f>
        <v>3188</v>
      </c>
      <c r="M811" s="276">
        <f>ROUND(CB70,0)</f>
        <v>1483854</v>
      </c>
      <c r="N811" s="276"/>
      <c r="O811" s="276"/>
      <c r="P811" s="276">
        <f>IF(CB76&gt;0,ROUND(CB76,0),0)</f>
        <v>4031</v>
      </c>
      <c r="Q811" s="276">
        <f>IF(CB77&gt;0,ROUND(CB77,0),0)</f>
        <v>0</v>
      </c>
      <c r="R811" s="276">
        <f>IF(CB78&gt;0,ROUND(CB78,0),0)</f>
        <v>506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164*2020*8790*A</v>
      </c>
      <c r="B812" s="276"/>
      <c r="C812" s="278">
        <f>ROUND(CC60,2)</f>
        <v>44.01</v>
      </c>
      <c r="D812" s="276">
        <f>ROUND(CC61,0)</f>
        <v>5593137</v>
      </c>
      <c r="E812" s="276">
        <f>ROUND(CC62,0)</f>
        <v>1023909</v>
      </c>
      <c r="F812" s="276">
        <f>ROUND(CC63,0)</f>
        <v>536130</v>
      </c>
      <c r="G812" s="276">
        <f>ROUND(CC64,0)</f>
        <v>-1973055</v>
      </c>
      <c r="H812" s="276">
        <f>ROUND(CC65,0)</f>
        <v>28126</v>
      </c>
      <c r="I812" s="276">
        <f>ROUND(CC66,0)</f>
        <v>10591408</v>
      </c>
      <c r="J812" s="276">
        <f>ROUND(CC67,0)</f>
        <v>68397</v>
      </c>
      <c r="K812" s="276">
        <f>ROUND(CC68,0)</f>
        <v>1170</v>
      </c>
      <c r="L812" s="276">
        <f>ROUND(CC69,0)</f>
        <v>4054403</v>
      </c>
      <c r="M812" s="276">
        <f>ROUND(CC70,0)</f>
        <v>12725052</v>
      </c>
      <c r="N812" s="276"/>
      <c r="O812" s="276"/>
      <c r="P812" s="276">
        <f>IF(CC76&gt;0,ROUND(CC76,0),0)</f>
        <v>7876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164*2020*9000*A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9163002</v>
      </c>
      <c r="V813" s="277">
        <f>ROUND(CD70,0)</f>
        <v>1597766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3">SUM(C734:C813)</f>
        <v>3776.9000000000015</v>
      </c>
      <c r="D815" s="277">
        <f t="shared" si="23"/>
        <v>396802107</v>
      </c>
      <c r="E815" s="277">
        <f t="shared" si="23"/>
        <v>92499077</v>
      </c>
      <c r="F815" s="277">
        <f t="shared" si="23"/>
        <v>18767522</v>
      </c>
      <c r="G815" s="277">
        <f t="shared" si="23"/>
        <v>104115545</v>
      </c>
      <c r="H815" s="277">
        <f t="shared" si="23"/>
        <v>6254683</v>
      </c>
      <c r="I815" s="277">
        <f t="shared" si="23"/>
        <v>64724256</v>
      </c>
      <c r="J815" s="277">
        <f t="shared" si="23"/>
        <v>35828142</v>
      </c>
      <c r="K815" s="277" t="e">
        <f t="shared" si="23"/>
        <v>#REF!</v>
      </c>
      <c r="L815" s="277" t="e">
        <f>SUM(L734:L813)+SUM(U734:U813)</f>
        <v>#REF!</v>
      </c>
      <c r="M815" s="277">
        <f>SUM(M734:M813)+SUM(V734:V813)</f>
        <v>47000824</v>
      </c>
      <c r="N815" s="277">
        <f t="shared" ref="N815:Y815" si="24">SUM(N734:N813)</f>
        <v>1904525417</v>
      </c>
      <c r="O815" s="277">
        <f t="shared" si="24"/>
        <v>806347254</v>
      </c>
      <c r="P815" s="277">
        <f t="shared" si="24"/>
        <v>1605304</v>
      </c>
      <c r="Q815" s="277">
        <f t="shared" si="24"/>
        <v>198262</v>
      </c>
      <c r="R815" s="277">
        <f t="shared" si="24"/>
        <v>105453</v>
      </c>
      <c r="S815" s="277">
        <f t="shared" si="24"/>
        <v>2375725</v>
      </c>
      <c r="T815" s="281">
        <f t="shared" si="24"/>
        <v>939.05</v>
      </c>
      <c r="U815" s="277">
        <f t="shared" si="24"/>
        <v>9163002</v>
      </c>
      <c r="V815" s="277">
        <f t="shared" si="24"/>
        <v>1597766</v>
      </c>
      <c r="W815" s="277">
        <f t="shared" si="24"/>
        <v>0</v>
      </c>
      <c r="X815" s="277">
        <f t="shared" si="24"/>
        <v>0</v>
      </c>
      <c r="Y815" s="277">
        <f t="shared" si="24"/>
        <v>176081019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3776.9151963601539</v>
      </c>
      <c r="D816" s="277">
        <f>CE61</f>
        <v>396802109.25999999</v>
      </c>
      <c r="E816" s="277">
        <f>CE62</f>
        <v>92499077</v>
      </c>
      <c r="F816" s="277">
        <f>CE63</f>
        <v>18767519.540000003</v>
      </c>
      <c r="G816" s="277">
        <f>CE64</f>
        <v>104115543.92000002</v>
      </c>
      <c r="H816" s="280">
        <f>CE65</f>
        <v>6254681.330000001</v>
      </c>
      <c r="I816" s="280">
        <f>CE66</f>
        <v>64724254.180000022</v>
      </c>
      <c r="J816" s="280">
        <f>CE67</f>
        <v>35828142</v>
      </c>
      <c r="K816" s="280">
        <f>CE68</f>
        <v>15464105.580000004</v>
      </c>
      <c r="L816" s="280">
        <f>CE69</f>
        <v>19397075.75</v>
      </c>
      <c r="M816" s="280">
        <f>CE70</f>
        <v>47000825.919999994</v>
      </c>
      <c r="N816" s="277">
        <f>CE75</f>
        <v>1904525415.6900003</v>
      </c>
      <c r="O816" s="277">
        <f>CE73</f>
        <v>806347253.38999987</v>
      </c>
      <c r="P816" s="277">
        <f>CE76</f>
        <v>1605304</v>
      </c>
      <c r="Q816" s="277">
        <f>CE77</f>
        <v>198262</v>
      </c>
      <c r="R816" s="277">
        <f>CE78</f>
        <v>105453</v>
      </c>
      <c r="S816" s="277">
        <f>CE79</f>
        <v>2375724.7999999998</v>
      </c>
      <c r="T816" s="281">
        <f>CE80</f>
        <v>939.05448659003832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176081018.77999997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396802109</v>
      </c>
      <c r="E817" s="180">
        <f>C379</f>
        <v>92499075</v>
      </c>
      <c r="F817" s="180">
        <f>C380</f>
        <v>18767520</v>
      </c>
      <c r="G817" s="240">
        <f>C381</f>
        <v>104115544</v>
      </c>
      <c r="H817" s="240">
        <f>C382</f>
        <v>6254681</v>
      </c>
      <c r="I817" s="240">
        <f>C383</f>
        <v>64724254</v>
      </c>
      <c r="J817" s="240">
        <f>C384</f>
        <v>35828141</v>
      </c>
      <c r="K817" s="240">
        <f>C385</f>
        <v>15464106</v>
      </c>
      <c r="L817" s="240">
        <f>C386+C387+C388+C389</f>
        <v>28503062</v>
      </c>
      <c r="M817" s="240">
        <f>C370</f>
        <v>47001114</v>
      </c>
      <c r="N817" s="180">
        <f>D361</f>
        <v>1904525415</v>
      </c>
      <c r="O817" s="180">
        <f>C359</f>
        <v>806347253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78" fitToWidth="8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47" transitionEvaluation="1" transitionEntry="1">
    <pageSetUpPr autoPageBreaks="0" fitToPage="1"/>
  </sheetPr>
  <dimension ref="A1:CI817"/>
  <sheetViews>
    <sheetView showGridLines="0" topLeftCell="A31" zoomScale="75" zoomScaleNormal="75" workbookViewId="0">
      <pane xSplit="2" ySplit="16" topLeftCell="C47" activePane="bottomRight" state="frozen"/>
      <selection activeCell="A31" sqref="A31"/>
      <selection pane="topRight" activeCell="C31" sqref="C31"/>
      <selection pane="bottomLeft" activeCell="A47" sqref="A47"/>
      <selection pane="bottomRight" activeCell="C168" sqref="C16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7" ht="12.65" customHeight="1" x14ac:dyDescent="0.35">
      <c r="A33" s="198" t="s">
        <v>1237</v>
      </c>
      <c r="C33" s="236"/>
    </row>
    <row r="34" spans="1:87" ht="12.65" customHeight="1" x14ac:dyDescent="0.35">
      <c r="A34" s="199" t="s">
        <v>9</v>
      </c>
      <c r="C34" s="236"/>
    </row>
    <row r="35" spans="1:87" ht="12.65" customHeight="1" x14ac:dyDescent="0.35">
      <c r="A35" s="199"/>
      <c r="C35" s="236"/>
    </row>
    <row r="36" spans="1:87" ht="12.65" customHeight="1" x14ac:dyDescent="0.35">
      <c r="A36" s="198" t="s">
        <v>1238</v>
      </c>
      <c r="C36" s="236"/>
    </row>
    <row r="37" spans="1:87" ht="12.65" customHeight="1" x14ac:dyDescent="0.35">
      <c r="A37" s="199" t="s">
        <v>1229</v>
      </c>
      <c r="C37" s="236"/>
    </row>
    <row r="38" spans="1:87" ht="12" customHeight="1" x14ac:dyDescent="0.35">
      <c r="A38" s="198"/>
      <c r="C38" s="236"/>
    </row>
    <row r="39" spans="1:87" ht="12.65" customHeight="1" x14ac:dyDescent="0.35">
      <c r="A39" s="199"/>
      <c r="C39" s="236"/>
    </row>
    <row r="40" spans="1:87" ht="12" customHeight="1" x14ac:dyDescent="0.35">
      <c r="A40" s="199"/>
      <c r="C40" s="236"/>
    </row>
    <row r="41" spans="1:87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7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7" ht="12" customHeight="1" x14ac:dyDescent="0.35">
      <c r="A43" s="199"/>
      <c r="C43" s="236"/>
      <c r="F43" s="181"/>
    </row>
    <row r="44" spans="1:87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7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7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7" ht="12.65" customHeight="1" x14ac:dyDescent="0.35">
      <c r="A47" s="175" t="s">
        <v>204</v>
      </c>
      <c r="B47" s="183"/>
      <c r="C47" s="184">
        <v>3298597.26</v>
      </c>
      <c r="D47" s="184">
        <v>1607933.6600000001</v>
      </c>
      <c r="E47" s="184">
        <v>4738411.08</v>
      </c>
      <c r="F47" s="184">
        <v>12737.56</v>
      </c>
      <c r="G47" s="184">
        <v>467042.11</v>
      </c>
      <c r="H47" s="184"/>
      <c r="I47" s="184"/>
      <c r="J47" s="184"/>
      <c r="K47" s="184"/>
      <c r="L47" s="184"/>
      <c r="M47" s="289">
        <v>1172728.54</v>
      </c>
      <c r="N47" s="184">
        <v>2642375.62</v>
      </c>
      <c r="O47" s="184">
        <v>4766749.5500000007</v>
      </c>
      <c r="P47" s="184">
        <v>2351539.29</v>
      </c>
      <c r="Q47" s="184">
        <v>1731556.0999999999</v>
      </c>
      <c r="R47" s="184">
        <v>124903.29000000001</v>
      </c>
      <c r="S47" s="184">
        <v>349983.95</v>
      </c>
      <c r="T47" s="184">
        <v>0</v>
      </c>
      <c r="U47" s="184">
        <v>1433246.83</v>
      </c>
      <c r="V47" s="184">
        <v>38607.659999999996</v>
      </c>
      <c r="W47" s="184">
        <v>138579.6</v>
      </c>
      <c r="X47" s="184">
        <v>278149.95</v>
      </c>
      <c r="Y47" s="184">
        <v>2991271.3599999994</v>
      </c>
      <c r="Z47" s="184">
        <v>683591.94</v>
      </c>
      <c r="AA47" s="184">
        <v>75086.62</v>
      </c>
      <c r="AB47" s="184">
        <v>1307022.8900000001</v>
      </c>
      <c r="AC47" s="184">
        <v>542367.65999999992</v>
      </c>
      <c r="AD47" s="184">
        <v>0</v>
      </c>
      <c r="AE47" s="184">
        <v>1247985.3599999999</v>
      </c>
      <c r="AF47" s="184"/>
      <c r="AG47" s="184">
        <v>2663672.7399999998</v>
      </c>
      <c r="AH47" s="184">
        <v>0</v>
      </c>
      <c r="AI47" s="184">
        <v>0</v>
      </c>
      <c r="AJ47" s="184">
        <v>13065734.359999999</v>
      </c>
      <c r="AK47" s="184"/>
      <c r="AL47" s="184"/>
      <c r="AM47" s="184"/>
      <c r="AN47" s="184"/>
      <c r="AO47" s="184"/>
      <c r="AP47" s="184">
        <v>9599807.5800000001</v>
      </c>
      <c r="AQ47" s="184"/>
      <c r="AR47" s="184">
        <v>10770668.460000001</v>
      </c>
      <c r="AS47" s="184"/>
      <c r="AT47" s="184"/>
      <c r="AU47" s="184"/>
      <c r="AV47" s="184">
        <v>543840.08000000007</v>
      </c>
      <c r="AW47" s="184">
        <v>225130.64</v>
      </c>
      <c r="AX47" s="184"/>
      <c r="AY47" s="184"/>
      <c r="AZ47" s="184">
        <v>952161.96000000008</v>
      </c>
      <c r="BA47" s="184">
        <v>100786.85</v>
      </c>
      <c r="BB47" s="184">
        <v>0</v>
      </c>
      <c r="BC47" s="184">
        <v>109933.75</v>
      </c>
      <c r="BD47" s="184">
        <v>603289.90999999992</v>
      </c>
      <c r="BE47" s="184">
        <v>924748.21999999986</v>
      </c>
      <c r="BF47" s="184">
        <v>1593662.42</v>
      </c>
      <c r="BG47" s="184">
        <v>352938.51</v>
      </c>
      <c r="BH47" s="184">
        <v>2618106.6800000002</v>
      </c>
      <c r="BI47" s="184">
        <v>431982.67</v>
      </c>
      <c r="BJ47" s="184">
        <v>371312.76</v>
      </c>
      <c r="BK47" s="184">
        <v>1564440.41</v>
      </c>
      <c r="BL47" s="184">
        <v>1125363.92</v>
      </c>
      <c r="BM47" s="184">
        <v>702928.35</v>
      </c>
      <c r="BN47" s="184">
        <v>1832005.5799999998</v>
      </c>
      <c r="BO47" s="184">
        <v>141406.76999999999</v>
      </c>
      <c r="BP47" s="184">
        <v>286067.07</v>
      </c>
      <c r="BQ47" s="184">
        <v>109890.61</v>
      </c>
      <c r="BR47" s="184">
        <v>618702.04999999993</v>
      </c>
      <c r="BS47" s="184">
        <v>79219.290000000008</v>
      </c>
      <c r="BT47" s="184">
        <v>48244.93</v>
      </c>
      <c r="BU47" s="184">
        <v>0</v>
      </c>
      <c r="BV47" s="184">
        <v>1077245.25</v>
      </c>
      <c r="BW47" s="184">
        <v>140841.96000000002</v>
      </c>
      <c r="BX47" s="184">
        <v>1240054.9100000001</v>
      </c>
      <c r="BY47" s="184">
        <v>458579.05</v>
      </c>
      <c r="BZ47" s="184">
        <v>1074521.4099999999</v>
      </c>
      <c r="CA47" s="184">
        <v>234186.69</v>
      </c>
      <c r="CB47" s="184">
        <v>1351788.12</v>
      </c>
      <c r="CC47" s="184">
        <v>1100969.57</v>
      </c>
      <c r="CD47" s="195"/>
      <c r="CE47" s="195">
        <f>SUM(C47:CC47)</f>
        <v>90114701.409999982</v>
      </c>
      <c r="CH47" s="288"/>
      <c r="CI47" s="288"/>
    </row>
    <row r="48" spans="1:87" ht="12.65" customHeight="1" x14ac:dyDescent="0.35">
      <c r="A48" s="175" t="s">
        <v>205</v>
      </c>
      <c r="B48" s="183">
        <v>-1256317.78</v>
      </c>
      <c r="C48" s="245">
        <f>ROUND(((B48/CE61)*C61),0)</f>
        <v>-49365</v>
      </c>
      <c r="D48" s="245">
        <f>ROUND(((B48/CE61)*D61),0)</f>
        <v>-21676</v>
      </c>
      <c r="E48" s="195">
        <f>ROUND(((B48/CE61)*E61),0)</f>
        <v>-71210</v>
      </c>
      <c r="F48" s="195">
        <f>ROUND(((B48/CE61)*F61),0)</f>
        <v>-114</v>
      </c>
      <c r="G48" s="195">
        <f>ROUND(((B48/CE61)*G61),0)</f>
        <v>-5705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-15283</v>
      </c>
      <c r="N48" s="195">
        <f>ROUND(((B48/CE61)*N61),0)</f>
        <v>-44615</v>
      </c>
      <c r="O48" s="195">
        <f>ROUND(((B48/CE61)*O61),0)</f>
        <v>-61057</v>
      </c>
      <c r="P48" s="195">
        <f>ROUND(((B48/CE61)*P61),0)</f>
        <v>-32585</v>
      </c>
      <c r="Q48" s="195">
        <f>ROUND(((B48/CE61)*Q61),0)</f>
        <v>-21908</v>
      </c>
      <c r="R48" s="195">
        <f>ROUND(((B48/CE61)*R61),0)</f>
        <v>-2088</v>
      </c>
      <c r="S48" s="195">
        <f>ROUND(((B48/CE61)*S61),0)</f>
        <v>-3870</v>
      </c>
      <c r="T48" s="195">
        <f>ROUND(((B48/CE61)*T61),0)</f>
        <v>0</v>
      </c>
      <c r="U48" s="195">
        <f>ROUND(((B48/CE61)*U61),0)</f>
        <v>-16907</v>
      </c>
      <c r="V48" s="195">
        <f>ROUND(((B48/CE61)*V61),0)</f>
        <v>-404</v>
      </c>
      <c r="W48" s="195">
        <f>ROUND(((B48/CE61)*W61),0)</f>
        <v>-2155</v>
      </c>
      <c r="X48" s="195">
        <f>ROUND(((B48/CE61)*X61),0)</f>
        <v>-4273</v>
      </c>
      <c r="Y48" s="195">
        <f>ROUND(((B48/CE61)*Y61),0)</f>
        <v>-43766</v>
      </c>
      <c r="Z48" s="195">
        <f>ROUND(((B48/CE61)*Z61),0)</f>
        <v>-12693</v>
      </c>
      <c r="AA48" s="195">
        <f>ROUND(((B48/CE61)*AA61),0)</f>
        <v>-1382</v>
      </c>
      <c r="AB48" s="195">
        <f>ROUND(((B48/CE61)*AB61),0)</f>
        <v>-18003</v>
      </c>
      <c r="AC48" s="195">
        <f>ROUND(((B48/CE61)*AC61),0)</f>
        <v>-6841</v>
      </c>
      <c r="AD48" s="195">
        <f>ROUND(((B48/CE61)*AD61),0)</f>
        <v>0</v>
      </c>
      <c r="AE48" s="195">
        <f>ROUND(((B48/CE61)*AE61),0)</f>
        <v>-16798</v>
      </c>
      <c r="AF48" s="195">
        <f>ROUND(((B48/CE61)*AF61),0)</f>
        <v>0</v>
      </c>
      <c r="AG48" s="195">
        <f>ROUND(((B48/CE61)*AG61),0)</f>
        <v>-31368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-226547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-140298</v>
      </c>
      <c r="AQ48" s="195">
        <f>ROUND(((B48/CE61)*AQ61),0)</f>
        <v>0</v>
      </c>
      <c r="AR48" s="195">
        <f>ROUND(((B48/CE61)*AR61),0)</f>
        <v>-142637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-6832</v>
      </c>
      <c r="AW48" s="195">
        <f>ROUND(((B48/CE61)*AW61),0)</f>
        <v>-2950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-9238</v>
      </c>
      <c r="BA48" s="195">
        <f>ROUND(((B48/CE61)*BA61),0)</f>
        <v>-771</v>
      </c>
      <c r="BB48" s="195">
        <f>ROUND(((B48/CE61)*BB61),0)</f>
        <v>0</v>
      </c>
      <c r="BC48" s="195">
        <f>ROUND(((B48/CE61)*BC61),0)</f>
        <v>-990</v>
      </c>
      <c r="BD48" s="195">
        <f>ROUND(((B48/CE61)*BD61),0)</f>
        <v>-6361</v>
      </c>
      <c r="BE48" s="195">
        <f>ROUND(((B48/CE61)*BE61),0)</f>
        <v>-10465</v>
      </c>
      <c r="BF48" s="195">
        <f>ROUND(((B48/CE61)*BF61),0)</f>
        <v>-14265</v>
      </c>
      <c r="BG48" s="195">
        <f>ROUND(((B48/CE61)*BG61),0)</f>
        <v>-3684</v>
      </c>
      <c r="BH48" s="195">
        <f>ROUND(((B48/CE61)*BH61),0)</f>
        <v>-35231</v>
      </c>
      <c r="BI48" s="195">
        <f>ROUND(((B48/CE61)*BI61),0)</f>
        <v>-6031</v>
      </c>
      <c r="BJ48" s="195">
        <f>ROUND(((B48/CE61)*BJ61),0)</f>
        <v>-4542</v>
      </c>
      <c r="BK48" s="195">
        <f>ROUND(((B48/CE61)*BK61),0)</f>
        <v>-15905</v>
      </c>
      <c r="BL48" s="195">
        <f>ROUND(((B48/CE61)*BL61),0)</f>
        <v>-11300</v>
      </c>
      <c r="BM48" s="195">
        <f>ROUND(((B48/CE61)*BM61),0)</f>
        <v>-8771</v>
      </c>
      <c r="BN48" s="195">
        <f>ROUND(((B48/CE61)*BN61),0)</f>
        <v>-22291</v>
      </c>
      <c r="BO48" s="195">
        <f>ROUND(((B48/CE61)*BO61),0)</f>
        <v>-2312</v>
      </c>
      <c r="BP48" s="195">
        <f>ROUND(((B48/CE61)*BP61),0)</f>
        <v>-2342</v>
      </c>
      <c r="BQ48" s="195">
        <f>ROUND(((B48/CE61)*BQ61),0)</f>
        <v>-1460</v>
      </c>
      <c r="BR48" s="195">
        <f>ROUND(((B48/CE61)*BR61),0)</f>
        <v>-5854</v>
      </c>
      <c r="BS48" s="195">
        <f>ROUND(((B48/CE61)*BS61),0)</f>
        <v>-898</v>
      </c>
      <c r="BT48" s="195">
        <f>ROUND(((B48/CE61)*BT61),0)</f>
        <v>-348</v>
      </c>
      <c r="BU48" s="195">
        <f>ROUND(((B48/CE61)*BU61),0)</f>
        <v>0</v>
      </c>
      <c r="BV48" s="195">
        <f>ROUND(((B48/CE61)*BV61),0)</f>
        <v>-11222</v>
      </c>
      <c r="BW48" s="195">
        <f>ROUND(((B48/CE61)*BW61),0)</f>
        <v>-4477</v>
      </c>
      <c r="BX48" s="195">
        <f>ROUND(((B48/CE61)*BX61),0)</f>
        <v>-18233</v>
      </c>
      <c r="BY48" s="195">
        <f>ROUND(((B48/CE61)*BY61),0)</f>
        <v>-6093</v>
      </c>
      <c r="BZ48" s="195">
        <f>ROUND(((B48/CE61)*BZ61),0)</f>
        <v>-8338</v>
      </c>
      <c r="CA48" s="195">
        <f>ROUND(((B48/CE61)*CA61),0)</f>
        <v>-3089</v>
      </c>
      <c r="CB48" s="195">
        <f>ROUND(((B48/CE61)*CB61),0)</f>
        <v>-14773</v>
      </c>
      <c r="CC48" s="195">
        <f>ROUND(((B48/CE61)*CC61),0)</f>
        <v>-23706</v>
      </c>
      <c r="CD48" s="195"/>
      <c r="CE48" s="195">
        <f>SUM(C48:CD48)</f>
        <v>-1256320</v>
      </c>
      <c r="CH48" s="288"/>
      <c r="CI48" s="288"/>
    </row>
    <row r="49" spans="1:87" ht="12.65" customHeight="1" x14ac:dyDescent="0.35">
      <c r="A49" s="175" t="s">
        <v>206</v>
      </c>
      <c r="B49" s="195">
        <f>B47+B48</f>
        <v>-1256317.78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H49" s="288"/>
      <c r="CI49" s="288"/>
    </row>
    <row r="50" spans="1:87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H50" s="288"/>
      <c r="CI50" s="288"/>
    </row>
    <row r="51" spans="1:87" ht="12.65" customHeight="1" x14ac:dyDescent="0.35">
      <c r="A51" s="171" t="s">
        <v>207</v>
      </c>
      <c r="B51" s="184"/>
      <c r="C51" s="184">
        <v>390110.74</v>
      </c>
      <c r="D51" s="184">
        <v>1571370.17</v>
      </c>
      <c r="E51" s="184">
        <v>2289328.4</v>
      </c>
      <c r="F51" s="184">
        <v>0</v>
      </c>
      <c r="G51" s="184">
        <v>102183.3</v>
      </c>
      <c r="H51" s="184"/>
      <c r="I51" s="184"/>
      <c r="J51" s="184"/>
      <c r="K51" s="184"/>
      <c r="L51" s="184"/>
      <c r="M51" s="184">
        <v>99679.61</v>
      </c>
      <c r="N51" s="184">
        <v>6471.23</v>
      </c>
      <c r="O51" s="184">
        <v>847707.55</v>
      </c>
      <c r="P51" s="184">
        <v>2840478.32</v>
      </c>
      <c r="Q51" s="184">
        <v>105922.47</v>
      </c>
      <c r="R51" s="184">
        <v>157918.49000000002</v>
      </c>
      <c r="S51" s="184">
        <v>411285.87</v>
      </c>
      <c r="T51" s="184">
        <v>0</v>
      </c>
      <c r="U51" s="184">
        <v>554002.48</v>
      </c>
      <c r="V51" s="184">
        <v>12060.16</v>
      </c>
      <c r="W51" s="184">
        <v>211315.34999999998</v>
      </c>
      <c r="X51" s="184">
        <v>118127.54000000001</v>
      </c>
      <c r="Y51" s="184">
        <v>2903992.86</v>
      </c>
      <c r="Z51" s="184">
        <v>1345346.5</v>
      </c>
      <c r="AA51" s="184">
        <v>163470.13</v>
      </c>
      <c r="AB51" s="184">
        <v>205189.99</v>
      </c>
      <c r="AC51" s="184">
        <v>90996.51</v>
      </c>
      <c r="AD51" s="184">
        <v>0</v>
      </c>
      <c r="AE51" s="184">
        <v>208554.90000000002</v>
      </c>
      <c r="AF51" s="184"/>
      <c r="AG51" s="184">
        <v>940621.02</v>
      </c>
      <c r="AH51" s="184">
        <v>0</v>
      </c>
      <c r="AI51" s="184">
        <v>0</v>
      </c>
      <c r="AJ51" s="184">
        <v>3242137.79</v>
      </c>
      <c r="AK51" s="184"/>
      <c r="AL51" s="184"/>
      <c r="AM51" s="184"/>
      <c r="AN51" s="184"/>
      <c r="AO51" s="184"/>
      <c r="AP51" s="184">
        <v>2880962.88</v>
      </c>
      <c r="AQ51" s="184"/>
      <c r="AR51" s="184">
        <v>100893.46</v>
      </c>
      <c r="AS51" s="184"/>
      <c r="AT51" s="184"/>
      <c r="AU51" s="184"/>
      <c r="AV51" s="184">
        <v>246758.65</v>
      </c>
      <c r="AW51" s="184">
        <v>27308.46</v>
      </c>
      <c r="AX51" s="184">
        <v>0</v>
      </c>
      <c r="AY51" s="184">
        <v>0</v>
      </c>
      <c r="AZ51" s="184">
        <v>771201.95</v>
      </c>
      <c r="BA51" s="184">
        <v>8539.06</v>
      </c>
      <c r="BB51" s="184">
        <v>0</v>
      </c>
      <c r="BC51" s="184">
        <v>15501.11</v>
      </c>
      <c r="BD51" s="184">
        <v>80144.58</v>
      </c>
      <c r="BE51" s="184">
        <f>6041926.03+136257.83</f>
        <v>6178183.8600000003</v>
      </c>
      <c r="BF51" s="184">
        <v>49622.25</v>
      </c>
      <c r="BG51" s="184">
        <v>25759.81</v>
      </c>
      <c r="BH51" s="184">
        <v>4922796.24</v>
      </c>
      <c r="BI51" s="184">
        <v>173325.85</v>
      </c>
      <c r="BJ51" s="184">
        <v>20588.54</v>
      </c>
      <c r="BK51" s="184">
        <v>69201.89</v>
      </c>
      <c r="BL51" s="184">
        <v>28895.25</v>
      </c>
      <c r="BM51" s="184">
        <v>19558.309999999998</v>
      </c>
      <c r="BN51" s="184">
        <v>227619.82</v>
      </c>
      <c r="BO51" s="184">
        <v>38726.869999999995</v>
      </c>
      <c r="BP51" s="184">
        <v>73492.53</v>
      </c>
      <c r="BQ51" s="184">
        <v>4838.05</v>
      </c>
      <c r="BR51" s="184">
        <v>15087.099999999999</v>
      </c>
      <c r="BS51" s="184">
        <v>16958.8</v>
      </c>
      <c r="BT51" s="184">
        <v>20365.009999999998</v>
      </c>
      <c r="BU51" s="184">
        <v>0</v>
      </c>
      <c r="BV51" s="184">
        <v>74145.62000000001</v>
      </c>
      <c r="BW51" s="184">
        <v>24087.71</v>
      </c>
      <c r="BX51" s="184">
        <v>43337.43</v>
      </c>
      <c r="BY51" s="184">
        <v>290768.84999999998</v>
      </c>
      <c r="BZ51" s="184">
        <v>13100.55</v>
      </c>
      <c r="CA51" s="184">
        <v>4801.91</v>
      </c>
      <c r="CB51" s="184">
        <v>37465.56</v>
      </c>
      <c r="CC51" s="184">
        <v>76832.23</v>
      </c>
      <c r="CD51" s="195"/>
      <c r="CE51" s="195">
        <f>SUM(C51:CD51)</f>
        <v>35399141.569999978</v>
      </c>
      <c r="CH51" s="288"/>
      <c r="CI51" s="288"/>
    </row>
    <row r="52" spans="1:87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  <c r="CH52" s="288"/>
      <c r="CI52" s="288"/>
    </row>
    <row r="53" spans="1:87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H53" s="288"/>
      <c r="CI53" s="288"/>
    </row>
    <row r="54" spans="1:87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H54" s="288"/>
      <c r="CI54" s="288"/>
    </row>
    <row r="55" spans="1:87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  <c r="CH55" s="288"/>
      <c r="CI55" s="288"/>
    </row>
    <row r="56" spans="1:87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  <c r="CH56" s="288"/>
      <c r="CI56" s="288"/>
    </row>
    <row r="57" spans="1:87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  <c r="CH57" s="288"/>
      <c r="CI57" s="288"/>
    </row>
    <row r="58" spans="1:87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  <c r="CH58" s="288"/>
      <c r="CI58" s="288"/>
    </row>
    <row r="59" spans="1:87" ht="12.65" customHeight="1" x14ac:dyDescent="0.35">
      <c r="A59" s="171" t="s">
        <v>233</v>
      </c>
      <c r="B59" s="175"/>
      <c r="C59" s="184">
        <v>4998.93</v>
      </c>
      <c r="D59" s="184">
        <v>9259.1200000000008</v>
      </c>
      <c r="E59" s="184">
        <v>36636.660000000003</v>
      </c>
      <c r="F59" s="184"/>
      <c r="G59" s="184">
        <v>3634</v>
      </c>
      <c r="H59" s="184"/>
      <c r="I59" s="184"/>
      <c r="J59" s="184"/>
      <c r="K59" s="184"/>
      <c r="L59" s="184"/>
      <c r="M59" s="184">
        <v>4219</v>
      </c>
      <c r="N59" s="184"/>
      <c r="O59" s="184">
        <v>4673</v>
      </c>
      <c r="P59" s="185">
        <v>843673</v>
      </c>
      <c r="Q59" s="185">
        <v>2118794</v>
      </c>
      <c r="R59" s="185">
        <v>1411799</v>
      </c>
      <c r="S59" s="248"/>
      <c r="T59" s="248"/>
      <c r="U59" s="224">
        <v>863693</v>
      </c>
      <c r="V59" s="185"/>
      <c r="W59" s="185">
        <v>33368.589999999997</v>
      </c>
      <c r="X59" s="185">
        <v>143766.91</v>
      </c>
      <c r="Y59" s="185">
        <v>369557.11</v>
      </c>
      <c r="Z59" s="185">
        <v>64630.23</v>
      </c>
      <c r="AA59" s="185">
        <v>13759.99</v>
      </c>
      <c r="AB59" s="248"/>
      <c r="AC59" s="185">
        <v>30036.83</v>
      </c>
      <c r="AD59" s="185"/>
      <c r="AE59" s="185">
        <v>86832</v>
      </c>
      <c r="AF59" s="185"/>
      <c r="AG59" s="185">
        <v>59802</v>
      </c>
      <c r="AH59" s="185"/>
      <c r="AI59" s="185"/>
      <c r="AJ59" s="185">
        <v>280221</v>
      </c>
      <c r="AK59" s="185"/>
      <c r="AL59" s="185"/>
      <c r="AM59" s="185"/>
      <c r="AN59" s="185"/>
      <c r="AO59" s="185"/>
      <c r="AP59" s="185">
        <v>342305</v>
      </c>
      <c r="AQ59" s="185"/>
      <c r="AR59" s="185"/>
      <c r="AS59" s="185"/>
      <c r="AT59" s="185"/>
      <c r="AU59" s="185"/>
      <c r="AV59" s="248"/>
      <c r="AW59" s="248"/>
      <c r="AX59" s="248"/>
      <c r="AY59" s="185"/>
      <c r="AZ59" s="185">
        <v>902499.11</v>
      </c>
      <c r="BA59" s="248"/>
      <c r="BB59" s="248"/>
      <c r="BC59" s="248"/>
      <c r="BD59" s="248"/>
      <c r="BE59" s="185">
        <v>782432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  <c r="CH59" s="288"/>
      <c r="CI59" s="288"/>
    </row>
    <row r="60" spans="1:87" ht="12.65" customHeight="1" x14ac:dyDescent="0.35">
      <c r="A60" s="250" t="s">
        <v>234</v>
      </c>
      <c r="B60" s="175"/>
      <c r="C60" s="186">
        <v>146.18586538461537</v>
      </c>
      <c r="D60" s="187">
        <v>69.808201923076922</v>
      </c>
      <c r="E60" s="187">
        <v>265.56265865384614</v>
      </c>
      <c r="F60" s="223">
        <v>0.2773846153846154</v>
      </c>
      <c r="G60" s="187">
        <v>18.757182692307694</v>
      </c>
      <c r="H60" s="187"/>
      <c r="I60" s="187"/>
      <c r="J60" s="223"/>
      <c r="K60" s="187"/>
      <c r="L60" s="187"/>
      <c r="M60" s="187">
        <v>48.33</v>
      </c>
      <c r="N60" s="187">
        <v>47.801485576923078</v>
      </c>
      <c r="O60" s="187">
        <v>186.38972596153846</v>
      </c>
      <c r="P60" s="221">
        <v>113.59373076923077</v>
      </c>
      <c r="Q60" s="221">
        <v>66.08261538461538</v>
      </c>
      <c r="R60" s="221">
        <v>7.7627548076923079</v>
      </c>
      <c r="S60" s="221">
        <v>21.143302884615384</v>
      </c>
      <c r="T60" s="221">
        <v>0</v>
      </c>
      <c r="U60" s="221">
        <v>74.857778846153863</v>
      </c>
      <c r="V60" s="221">
        <v>2.2858653846153842</v>
      </c>
      <c r="W60" s="221">
        <v>6.613249999999999</v>
      </c>
      <c r="X60" s="221">
        <v>14.356634615384614</v>
      </c>
      <c r="Y60" s="221">
        <v>138.99381249999999</v>
      </c>
      <c r="Z60" s="221">
        <v>20.556216346153846</v>
      </c>
      <c r="AA60" s="221">
        <v>3.119341346153846</v>
      </c>
      <c r="AB60" s="221">
        <v>54.821802884615387</v>
      </c>
      <c r="AC60" s="221">
        <v>23.40308653846154</v>
      </c>
      <c r="AD60" s="221">
        <v>0</v>
      </c>
      <c r="AE60" s="221">
        <v>63.720721153846171</v>
      </c>
      <c r="AF60" s="221"/>
      <c r="AG60" s="221">
        <v>118.49179326923077</v>
      </c>
      <c r="AH60" s="221"/>
      <c r="AI60" s="221"/>
      <c r="AJ60" s="221">
        <v>481.11749519230762</v>
      </c>
      <c r="AK60" s="221"/>
      <c r="AL60" s="221"/>
      <c r="AM60" s="221"/>
      <c r="AN60" s="221"/>
      <c r="AO60" s="221"/>
      <c r="AP60" s="221">
        <v>386.06692788461544</v>
      </c>
      <c r="AQ60" s="221"/>
      <c r="AR60" s="221">
        <v>458.89</v>
      </c>
      <c r="AS60" s="221"/>
      <c r="AT60" s="221"/>
      <c r="AU60" s="221"/>
      <c r="AV60" s="221">
        <v>21.522437499999999</v>
      </c>
      <c r="AW60" s="221">
        <v>12.786586538461538</v>
      </c>
      <c r="AX60" s="221"/>
      <c r="AY60" s="221"/>
      <c r="AZ60" s="221">
        <v>63.683855769230775</v>
      </c>
      <c r="BA60" s="221">
        <v>5.4196298076923064</v>
      </c>
      <c r="BB60" s="221">
        <v>0</v>
      </c>
      <c r="BC60" s="221">
        <v>7.2853798076923075</v>
      </c>
      <c r="BD60" s="221">
        <v>32.536826923076923</v>
      </c>
      <c r="BE60" s="221">
        <v>45.617254807692305</v>
      </c>
      <c r="BF60" s="221">
        <v>100.21023076923075</v>
      </c>
      <c r="BG60" s="221">
        <v>21.170961538461533</v>
      </c>
      <c r="BH60" s="221">
        <v>106.44262500000001</v>
      </c>
      <c r="BI60" s="221">
        <v>19.037591346153846</v>
      </c>
      <c r="BJ60" s="221">
        <v>17.972572115384615</v>
      </c>
      <c r="BK60" s="221">
        <v>90.617182692307708</v>
      </c>
      <c r="BL60" s="221">
        <v>68.996610576923089</v>
      </c>
      <c r="BM60" s="221">
        <v>26.893600961538464</v>
      </c>
      <c r="BN60" s="221">
        <v>24.869831730769231</v>
      </c>
      <c r="BO60" s="221">
        <v>6.3719374999999996</v>
      </c>
      <c r="BP60" s="221">
        <v>7.4495721153846146</v>
      </c>
      <c r="BQ60" s="221">
        <v>3.5105</v>
      </c>
      <c r="BR60" s="221">
        <v>27.087259615384614</v>
      </c>
      <c r="BS60" s="221">
        <v>4.5677836538461536</v>
      </c>
      <c r="BT60" s="221">
        <v>1.6138749999999999</v>
      </c>
      <c r="BU60" s="221">
        <v>0</v>
      </c>
      <c r="BV60" s="221">
        <v>54.66841826923077</v>
      </c>
      <c r="BW60" s="221">
        <v>7.5937163461538466</v>
      </c>
      <c r="BX60" s="221">
        <v>51.587163461538459</v>
      </c>
      <c r="BY60" s="221">
        <v>17.788951923076922</v>
      </c>
      <c r="BZ60" s="221">
        <v>29.958600961538458</v>
      </c>
      <c r="CA60" s="221">
        <v>10.288033653846156</v>
      </c>
      <c r="CB60" s="221">
        <v>63.430259615384614</v>
      </c>
      <c r="CC60" s="221">
        <v>42.354649038461545</v>
      </c>
      <c r="CD60" s="249" t="s">
        <v>221</v>
      </c>
      <c r="CE60" s="251">
        <f t="shared" ref="CE60:CE70" si="0">SUM(C60:CD60)</f>
        <v>3832.3235336538464</v>
      </c>
      <c r="CH60" s="288"/>
      <c r="CI60" s="288"/>
    </row>
    <row r="61" spans="1:87" ht="12.65" customHeight="1" x14ac:dyDescent="0.35">
      <c r="A61" s="171" t="s">
        <v>235</v>
      </c>
      <c r="B61" s="175"/>
      <c r="C61" s="184">
        <v>15690093.979999997</v>
      </c>
      <c r="D61" s="184">
        <v>6889482.0600000024</v>
      </c>
      <c r="E61" s="184">
        <v>22633351.049999997</v>
      </c>
      <c r="F61" s="185">
        <v>36266.770000000004</v>
      </c>
      <c r="G61" s="184">
        <v>1813271.55</v>
      </c>
      <c r="H61" s="184"/>
      <c r="I61" s="185"/>
      <c r="J61" s="185"/>
      <c r="K61" s="185"/>
      <c r="L61" s="185"/>
      <c r="M61" s="184">
        <v>4857454.97</v>
      </c>
      <c r="N61" s="184">
        <v>14180454.960000001</v>
      </c>
      <c r="O61" s="184">
        <v>19406368.269999992</v>
      </c>
      <c r="P61" s="185">
        <v>10356863.85</v>
      </c>
      <c r="Q61" s="185">
        <v>6963294.4699999997</v>
      </c>
      <c r="R61" s="185">
        <v>663549.44999999995</v>
      </c>
      <c r="S61" s="185">
        <v>1229906.18</v>
      </c>
      <c r="T61" s="185">
        <v>0</v>
      </c>
      <c r="U61" s="185">
        <v>5373806.6300000008</v>
      </c>
      <c r="V61" s="185">
        <v>128506.23000000001</v>
      </c>
      <c r="W61" s="185">
        <v>685023.24</v>
      </c>
      <c r="X61" s="185">
        <v>1358205.3199999998</v>
      </c>
      <c r="Y61" s="185">
        <v>13910737.07</v>
      </c>
      <c r="Z61" s="185">
        <v>4034267.09</v>
      </c>
      <c r="AA61" s="185">
        <v>439258.30999999994</v>
      </c>
      <c r="AB61" s="185">
        <v>5722237.6000000006</v>
      </c>
      <c r="AC61" s="185">
        <v>2174219.02</v>
      </c>
      <c r="AD61" s="185">
        <v>0</v>
      </c>
      <c r="AE61" s="185">
        <v>5339045.459999999</v>
      </c>
      <c r="AF61" s="185"/>
      <c r="AG61" s="185">
        <v>9970030.660000002</v>
      </c>
      <c r="AH61" s="185">
        <v>0</v>
      </c>
      <c r="AI61" s="185">
        <v>0</v>
      </c>
      <c r="AJ61" s="185">
        <v>72005942.789999992</v>
      </c>
      <c r="AK61" s="185"/>
      <c r="AL61" s="185"/>
      <c r="AM61" s="185"/>
      <c r="AN61" s="185"/>
      <c r="AO61" s="185"/>
      <c r="AP61" s="185">
        <v>44592538.18</v>
      </c>
      <c r="AQ61" s="185"/>
      <c r="AR61" s="185">
        <v>45335876.659999996</v>
      </c>
      <c r="AS61" s="185"/>
      <c r="AT61" s="185"/>
      <c r="AU61" s="185"/>
      <c r="AV61" s="185">
        <v>2171498.9000000004</v>
      </c>
      <c r="AW61" s="185">
        <v>937778.04999999993</v>
      </c>
      <c r="AX61" s="185">
        <v>0</v>
      </c>
      <c r="AY61" s="185">
        <v>0</v>
      </c>
      <c r="AZ61" s="185">
        <v>2936159.18</v>
      </c>
      <c r="BA61" s="185">
        <v>245033.8</v>
      </c>
      <c r="BB61" s="185">
        <v>0</v>
      </c>
      <c r="BC61" s="185">
        <v>314601.02</v>
      </c>
      <c r="BD61" s="185">
        <v>2021783.46</v>
      </c>
      <c r="BE61" s="185">
        <v>3326170.48</v>
      </c>
      <c r="BF61" s="185">
        <v>4533925.9099999992</v>
      </c>
      <c r="BG61" s="185">
        <v>1171029.45</v>
      </c>
      <c r="BH61" s="185">
        <v>11197839.67</v>
      </c>
      <c r="BI61" s="185">
        <v>1917056.3500000003</v>
      </c>
      <c r="BJ61" s="185">
        <v>1443526.29</v>
      </c>
      <c r="BK61" s="185">
        <v>5055312.2699999996</v>
      </c>
      <c r="BL61" s="185">
        <v>3591756.94</v>
      </c>
      <c r="BM61" s="185">
        <v>2787890.3299999991</v>
      </c>
      <c r="BN61" s="185">
        <v>7084887.8800000008</v>
      </c>
      <c r="BO61" s="185">
        <v>734710.92</v>
      </c>
      <c r="BP61" s="185">
        <v>744345.65</v>
      </c>
      <c r="BQ61" s="185">
        <v>464054.49999999994</v>
      </c>
      <c r="BR61" s="185">
        <f>2601594.9-740878.09</f>
        <v>1860716.81</v>
      </c>
      <c r="BS61" s="185">
        <v>285397.82999999996</v>
      </c>
      <c r="BT61" s="185">
        <v>110748.73999999999</v>
      </c>
      <c r="BU61" s="185">
        <v>0</v>
      </c>
      <c r="BV61" s="185">
        <v>3566768.62</v>
      </c>
      <c r="BW61" s="185">
        <v>1422951.25</v>
      </c>
      <c r="BX61" s="185">
        <v>5795238.2999999998</v>
      </c>
      <c r="BY61" s="185">
        <v>1936634.4800000002</v>
      </c>
      <c r="BZ61" s="185">
        <v>2650182.9300000006</v>
      </c>
      <c r="CA61" s="185">
        <v>981734.52999999991</v>
      </c>
      <c r="CB61" s="185">
        <v>4695440.379999998</v>
      </c>
      <c r="CC61" s="185">
        <f>7462157.22+72476.51</f>
        <v>7534633.7299999995</v>
      </c>
      <c r="CD61" s="249" t="s">
        <v>221</v>
      </c>
      <c r="CE61" s="195">
        <f t="shared" si="0"/>
        <v>399309860.46999997</v>
      </c>
      <c r="CF61" s="252"/>
      <c r="CH61" s="288"/>
      <c r="CI61" s="288"/>
    </row>
    <row r="62" spans="1:87" ht="12.65" customHeight="1" x14ac:dyDescent="0.35">
      <c r="A62" s="171" t="s">
        <v>3</v>
      </c>
      <c r="B62" s="175"/>
      <c r="C62" s="195">
        <f t="shared" ref="C62:BN62" si="1">ROUND(C47+C48,0)</f>
        <v>3249232</v>
      </c>
      <c r="D62" s="195">
        <f t="shared" si="1"/>
        <v>1586258</v>
      </c>
      <c r="E62" s="195">
        <f t="shared" si="1"/>
        <v>4667201</v>
      </c>
      <c r="F62" s="195">
        <f t="shared" si="1"/>
        <v>12624</v>
      </c>
      <c r="G62" s="195">
        <f t="shared" si="1"/>
        <v>461337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1157446</v>
      </c>
      <c r="N62" s="195">
        <f t="shared" si="1"/>
        <v>2597761</v>
      </c>
      <c r="O62" s="195">
        <f t="shared" si="1"/>
        <v>4705693</v>
      </c>
      <c r="P62" s="195">
        <f t="shared" si="1"/>
        <v>2318954</v>
      </c>
      <c r="Q62" s="195">
        <f t="shared" si="1"/>
        <v>1709648</v>
      </c>
      <c r="R62" s="195">
        <f t="shared" si="1"/>
        <v>122815</v>
      </c>
      <c r="S62" s="195">
        <f t="shared" si="1"/>
        <v>346114</v>
      </c>
      <c r="T62" s="195">
        <f t="shared" si="1"/>
        <v>0</v>
      </c>
      <c r="U62" s="195">
        <f t="shared" si="1"/>
        <v>1416340</v>
      </c>
      <c r="V62" s="195">
        <f t="shared" si="1"/>
        <v>38204</v>
      </c>
      <c r="W62" s="195">
        <f t="shared" si="1"/>
        <v>136425</v>
      </c>
      <c r="X62" s="195">
        <f t="shared" si="1"/>
        <v>273877</v>
      </c>
      <c r="Y62" s="195">
        <f t="shared" si="1"/>
        <v>2947505</v>
      </c>
      <c r="Z62" s="195">
        <f t="shared" si="1"/>
        <v>670899</v>
      </c>
      <c r="AA62" s="195">
        <f t="shared" si="1"/>
        <v>73705</v>
      </c>
      <c r="AB62" s="195">
        <f t="shared" si="1"/>
        <v>1289020</v>
      </c>
      <c r="AC62" s="195">
        <f t="shared" si="1"/>
        <v>535527</v>
      </c>
      <c r="AD62" s="195">
        <f t="shared" si="1"/>
        <v>0</v>
      </c>
      <c r="AE62" s="195">
        <f t="shared" si="1"/>
        <v>1231187</v>
      </c>
      <c r="AF62" s="195">
        <f t="shared" si="1"/>
        <v>0</v>
      </c>
      <c r="AG62" s="195">
        <f t="shared" si="1"/>
        <v>2632305</v>
      </c>
      <c r="AH62" s="195">
        <f t="shared" si="1"/>
        <v>0</v>
      </c>
      <c r="AI62" s="195">
        <f t="shared" si="1"/>
        <v>0</v>
      </c>
      <c r="AJ62" s="195">
        <f t="shared" si="1"/>
        <v>12839187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9459510</v>
      </c>
      <c r="AQ62" s="195">
        <f t="shared" si="1"/>
        <v>0</v>
      </c>
      <c r="AR62" s="195">
        <f t="shared" si="1"/>
        <v>10628031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537008</v>
      </c>
      <c r="AW62" s="195">
        <f t="shared" si="1"/>
        <v>222181</v>
      </c>
      <c r="AX62" s="195">
        <f t="shared" si="1"/>
        <v>0</v>
      </c>
      <c r="AY62" s="195">
        <f>ROUND(AY47+AY48,0)</f>
        <v>0</v>
      </c>
      <c r="AZ62" s="195">
        <f>ROUND(AZ47+AZ48,0)</f>
        <v>942924</v>
      </c>
      <c r="BA62" s="195">
        <f>ROUND(BA47+BA48,0)</f>
        <v>100016</v>
      </c>
      <c r="BB62" s="195">
        <f t="shared" si="1"/>
        <v>0</v>
      </c>
      <c r="BC62" s="195">
        <f t="shared" si="1"/>
        <v>108944</v>
      </c>
      <c r="BD62" s="195">
        <f t="shared" si="1"/>
        <v>596929</v>
      </c>
      <c r="BE62" s="195">
        <f t="shared" si="1"/>
        <v>914283</v>
      </c>
      <c r="BF62" s="195">
        <f t="shared" si="1"/>
        <v>1579397</v>
      </c>
      <c r="BG62" s="195">
        <f t="shared" si="1"/>
        <v>349255</v>
      </c>
      <c r="BH62" s="195">
        <f t="shared" si="1"/>
        <v>2582876</v>
      </c>
      <c r="BI62" s="195">
        <f t="shared" si="1"/>
        <v>425952</v>
      </c>
      <c r="BJ62" s="195">
        <f t="shared" si="1"/>
        <v>366771</v>
      </c>
      <c r="BK62" s="195">
        <f t="shared" si="1"/>
        <v>1548535</v>
      </c>
      <c r="BL62" s="195">
        <f t="shared" si="1"/>
        <v>1114064</v>
      </c>
      <c r="BM62" s="195">
        <f t="shared" si="1"/>
        <v>694157</v>
      </c>
      <c r="BN62" s="195">
        <f t="shared" si="1"/>
        <v>1809715</v>
      </c>
      <c r="BO62" s="195">
        <f t="shared" ref="BO62:CC62" si="2">ROUND(BO47+BO48,0)</f>
        <v>139095</v>
      </c>
      <c r="BP62" s="195">
        <f t="shared" si="2"/>
        <v>283725</v>
      </c>
      <c r="BQ62" s="195">
        <f t="shared" si="2"/>
        <v>108431</v>
      </c>
      <c r="BR62" s="195">
        <f t="shared" si="2"/>
        <v>612848</v>
      </c>
      <c r="BS62" s="195">
        <f t="shared" si="2"/>
        <v>78321</v>
      </c>
      <c r="BT62" s="195">
        <f t="shared" si="2"/>
        <v>47897</v>
      </c>
      <c r="BU62" s="195">
        <f t="shared" si="2"/>
        <v>0</v>
      </c>
      <c r="BV62" s="195">
        <f t="shared" si="2"/>
        <v>1066023</v>
      </c>
      <c r="BW62" s="195">
        <f t="shared" si="2"/>
        <v>136365</v>
      </c>
      <c r="BX62" s="195">
        <f t="shared" si="2"/>
        <v>1221822</v>
      </c>
      <c r="BY62" s="195">
        <f t="shared" si="2"/>
        <v>452486</v>
      </c>
      <c r="BZ62" s="195">
        <f t="shared" si="2"/>
        <v>1066183</v>
      </c>
      <c r="CA62" s="195">
        <f t="shared" si="2"/>
        <v>231098</v>
      </c>
      <c r="CB62" s="195">
        <f t="shared" si="2"/>
        <v>1337015</v>
      </c>
      <c r="CC62" s="195">
        <f t="shared" si="2"/>
        <v>1077264</v>
      </c>
      <c r="CD62" s="249" t="s">
        <v>221</v>
      </c>
      <c r="CE62" s="195">
        <f t="shared" si="0"/>
        <v>88858385</v>
      </c>
      <c r="CF62" s="252"/>
      <c r="CH62" s="288"/>
      <c r="CI62" s="288"/>
    </row>
    <row r="63" spans="1:87" ht="12.65" customHeight="1" x14ac:dyDescent="0.35">
      <c r="A63" s="171" t="s">
        <v>236</v>
      </c>
      <c r="B63" s="175"/>
      <c r="C63" s="184">
        <v>674150</v>
      </c>
      <c r="D63" s="184">
        <v>0</v>
      </c>
      <c r="E63" s="184">
        <v>0</v>
      </c>
      <c r="F63" s="185">
        <v>0</v>
      </c>
      <c r="G63" s="184">
        <v>0</v>
      </c>
      <c r="H63" s="184"/>
      <c r="I63" s="185"/>
      <c r="J63" s="185"/>
      <c r="K63" s="185"/>
      <c r="L63" s="185"/>
      <c r="M63" s="184"/>
      <c r="N63" s="184">
        <v>684791.65</v>
      </c>
      <c r="O63" s="184">
        <v>18591.86</v>
      </c>
      <c r="P63" s="185">
        <v>3574.2999999999997</v>
      </c>
      <c r="Q63" s="185">
        <v>0</v>
      </c>
      <c r="R63" s="185">
        <v>0</v>
      </c>
      <c r="S63" s="185">
        <v>0</v>
      </c>
      <c r="T63" s="185">
        <v>0</v>
      </c>
      <c r="U63" s="185">
        <v>201889.64</v>
      </c>
      <c r="V63" s="185">
        <v>3325</v>
      </c>
      <c r="W63" s="185">
        <v>0</v>
      </c>
      <c r="X63" s="185">
        <v>0</v>
      </c>
      <c r="Y63" s="185">
        <v>99165</v>
      </c>
      <c r="Z63" s="185">
        <v>0</v>
      </c>
      <c r="AA63" s="185">
        <v>250</v>
      </c>
      <c r="AB63" s="185">
        <v>0</v>
      </c>
      <c r="AC63" s="185">
        <v>0</v>
      </c>
      <c r="AD63" s="185">
        <v>0</v>
      </c>
      <c r="AE63" s="185">
        <v>0</v>
      </c>
      <c r="AF63" s="185"/>
      <c r="AG63" s="185">
        <v>571687.42999999993</v>
      </c>
      <c r="AH63" s="185"/>
      <c r="AI63" s="185"/>
      <c r="AJ63" s="185">
        <v>1092869.03</v>
      </c>
      <c r="AK63" s="185"/>
      <c r="AL63" s="185"/>
      <c r="AM63" s="185"/>
      <c r="AN63" s="185"/>
      <c r="AO63" s="185"/>
      <c r="AP63" s="185">
        <v>3800751.38</v>
      </c>
      <c r="AQ63" s="185"/>
      <c r="AR63" s="185">
        <v>31715.95</v>
      </c>
      <c r="AS63" s="185"/>
      <c r="AT63" s="185"/>
      <c r="AU63" s="185"/>
      <c r="AV63" s="185">
        <v>0</v>
      </c>
      <c r="AW63" s="185">
        <v>539078.55499999993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47500</v>
      </c>
      <c r="BF63" s="185">
        <v>0</v>
      </c>
      <c r="BG63" s="185">
        <v>26989</v>
      </c>
      <c r="BH63" s="185">
        <v>665</v>
      </c>
      <c r="BI63" s="185">
        <v>0</v>
      </c>
      <c r="BJ63" s="185">
        <v>360698.95</v>
      </c>
      <c r="BK63" s="185">
        <v>404714.05</v>
      </c>
      <c r="BL63" s="185">
        <v>0</v>
      </c>
      <c r="BM63" s="185">
        <v>183922.22</v>
      </c>
      <c r="BN63" s="185">
        <v>4571935.9589999998</v>
      </c>
      <c r="BO63" s="185">
        <v>470</v>
      </c>
      <c r="BP63" s="185">
        <v>167620</v>
      </c>
      <c r="BQ63" s="185">
        <v>0</v>
      </c>
      <c r="BR63" s="185">
        <f>425385.88+279627.54</f>
        <v>705013.41999999993</v>
      </c>
      <c r="BS63" s="185">
        <v>0</v>
      </c>
      <c r="BT63" s="185">
        <v>0</v>
      </c>
      <c r="BU63" s="185">
        <v>0</v>
      </c>
      <c r="BV63" s="185">
        <v>0</v>
      </c>
      <c r="BW63" s="185">
        <v>1383226.68</v>
      </c>
      <c r="BX63" s="185">
        <v>303287.24</v>
      </c>
      <c r="BY63" s="185">
        <v>0</v>
      </c>
      <c r="BZ63" s="185">
        <v>0</v>
      </c>
      <c r="CA63" s="185">
        <v>0</v>
      </c>
      <c r="CB63" s="185">
        <v>0</v>
      </c>
      <c r="CC63" s="185">
        <f>1649377.94+176.68</f>
        <v>1649554.6199999999</v>
      </c>
      <c r="CD63" s="249" t="s">
        <v>221</v>
      </c>
      <c r="CE63" s="195">
        <f t="shared" si="0"/>
        <v>17527436.934</v>
      </c>
      <c r="CF63" s="252"/>
      <c r="CH63" s="288"/>
      <c r="CI63" s="288"/>
    </row>
    <row r="64" spans="1:87" ht="12.65" customHeight="1" x14ac:dyDescent="0.35">
      <c r="A64" s="171" t="s">
        <v>237</v>
      </c>
      <c r="B64" s="175"/>
      <c r="C64" s="184">
        <v>1576561.8800000001</v>
      </c>
      <c r="D64" s="184">
        <v>566859.74</v>
      </c>
      <c r="E64" s="185">
        <v>1781369.2200000007</v>
      </c>
      <c r="F64" s="185">
        <v>0</v>
      </c>
      <c r="G64" s="184">
        <v>78511.920000000013</v>
      </c>
      <c r="H64" s="184"/>
      <c r="I64" s="185"/>
      <c r="J64" s="185"/>
      <c r="K64" s="185"/>
      <c r="L64" s="185"/>
      <c r="M64" s="184">
        <v>139378.59</v>
      </c>
      <c r="N64" s="184">
        <v>11380.160000000002</v>
      </c>
      <c r="O64" s="184">
        <v>1792932.71</v>
      </c>
      <c r="P64" s="185">
        <v>37179393.189999998</v>
      </c>
      <c r="Q64" s="185">
        <v>320910.08999999991</v>
      </c>
      <c r="R64" s="185">
        <v>470104.91000000003</v>
      </c>
      <c r="S64" s="185">
        <v>614383.19000000006</v>
      </c>
      <c r="T64" s="185">
        <v>0</v>
      </c>
      <c r="U64" s="185">
        <v>4757821.0599999987</v>
      </c>
      <c r="V64" s="185">
        <v>18388.45</v>
      </c>
      <c r="W64" s="185">
        <v>205154.51000000004</v>
      </c>
      <c r="X64" s="185">
        <v>469843.7099999999</v>
      </c>
      <c r="Y64" s="185">
        <v>5712614.1899999985</v>
      </c>
      <c r="Z64" s="185">
        <v>338870.70000000007</v>
      </c>
      <c r="AA64" s="185">
        <v>336630.17999999993</v>
      </c>
      <c r="AB64" s="185">
        <v>18884570.729999993</v>
      </c>
      <c r="AC64" s="185">
        <v>388758.39999999997</v>
      </c>
      <c r="AD64" s="185">
        <v>0</v>
      </c>
      <c r="AE64" s="185">
        <v>94278.27</v>
      </c>
      <c r="AF64" s="185"/>
      <c r="AG64" s="185">
        <v>1678264.3200000003</v>
      </c>
      <c r="AH64" s="185"/>
      <c r="AI64" s="185"/>
      <c r="AJ64" s="185">
        <v>5785356.1300000018</v>
      </c>
      <c r="AK64" s="185"/>
      <c r="AL64" s="185"/>
      <c r="AM64" s="185"/>
      <c r="AN64" s="185"/>
      <c r="AO64" s="185"/>
      <c r="AP64" s="185">
        <v>5759188.9700000007</v>
      </c>
      <c r="AQ64" s="185"/>
      <c r="AR64" s="185">
        <v>3728447.58</v>
      </c>
      <c r="AS64" s="185"/>
      <c r="AT64" s="185"/>
      <c r="AU64" s="185"/>
      <c r="AV64" s="185">
        <v>5217467.8899999997</v>
      </c>
      <c r="AW64" s="185">
        <v>33140.379999999997</v>
      </c>
      <c r="AX64" s="185">
        <v>358339.23000000004</v>
      </c>
      <c r="AY64" s="185">
        <v>0</v>
      </c>
      <c r="AZ64" s="185">
        <v>1990006.8399999996</v>
      </c>
      <c r="BA64" s="185">
        <v>22934.25</v>
      </c>
      <c r="BB64" s="185">
        <v>0</v>
      </c>
      <c r="BC64" s="185">
        <v>642.53</v>
      </c>
      <c r="BD64" s="185">
        <v>78920.350000000006</v>
      </c>
      <c r="BE64" s="185">
        <v>589662.52000000014</v>
      </c>
      <c r="BF64" s="185">
        <v>346297.89</v>
      </c>
      <c r="BG64" s="185">
        <v>220160.94</v>
      </c>
      <c r="BH64" s="185">
        <v>1011301.86</v>
      </c>
      <c r="BI64" s="185">
        <v>30834.089999999997</v>
      </c>
      <c r="BJ64" s="185">
        <v>12437.339999999998</v>
      </c>
      <c r="BK64" s="185">
        <v>81369.38999999997</v>
      </c>
      <c r="BL64" s="185">
        <v>36476.770000000004</v>
      </c>
      <c r="BM64" s="185">
        <v>25490.62</v>
      </c>
      <c r="BN64" s="185">
        <v>37391.49</v>
      </c>
      <c r="BO64" s="185">
        <v>158986.53000000003</v>
      </c>
      <c r="BP64" s="185">
        <v>45581.279999999999</v>
      </c>
      <c r="BQ64" s="185">
        <v>4933.5600000000004</v>
      </c>
      <c r="BR64" s="185">
        <f>37354.01+6228.24</f>
        <v>43582.25</v>
      </c>
      <c r="BS64" s="185">
        <v>442651.16000000003</v>
      </c>
      <c r="BT64" s="185">
        <v>0</v>
      </c>
      <c r="BU64" s="185">
        <v>0</v>
      </c>
      <c r="BV64" s="185">
        <v>15754.070000000002</v>
      </c>
      <c r="BW64" s="185">
        <v>24413.360000000001</v>
      </c>
      <c r="BX64" s="185">
        <v>49774.650000000009</v>
      </c>
      <c r="BY64" s="185">
        <v>909.4</v>
      </c>
      <c r="BZ64" s="185">
        <v>2622.09</v>
      </c>
      <c r="CA64" s="185">
        <v>153084.66</v>
      </c>
      <c r="CB64" s="185">
        <v>102668.09000000001</v>
      </c>
      <c r="CC64" s="185">
        <f>94906.21+1373.1-1661313.38</f>
        <v>-1565034.0699999998</v>
      </c>
      <c r="CD64" s="249" t="s">
        <v>221</v>
      </c>
      <c r="CE64" s="195">
        <f t="shared" si="0"/>
        <v>102262774.21000001</v>
      </c>
      <c r="CF64" s="252"/>
      <c r="CH64" s="288"/>
      <c r="CI64" s="288"/>
    </row>
    <row r="65" spans="1:87" ht="12.65" customHeight="1" x14ac:dyDescent="0.35">
      <c r="A65" s="171" t="s">
        <v>238</v>
      </c>
      <c r="B65" s="175"/>
      <c r="C65" s="184">
        <v>6430.3700000000008</v>
      </c>
      <c r="D65" s="184">
        <v>0</v>
      </c>
      <c r="E65" s="184">
        <v>0</v>
      </c>
      <c r="F65" s="184">
        <v>0</v>
      </c>
      <c r="G65" s="184">
        <v>0</v>
      </c>
      <c r="H65" s="184"/>
      <c r="I65" s="185"/>
      <c r="J65" s="184"/>
      <c r="K65" s="185"/>
      <c r="L65" s="185"/>
      <c r="M65" s="184">
        <v>9444.2999999999993</v>
      </c>
      <c r="N65" s="184">
        <v>47847.44</v>
      </c>
      <c r="O65" s="184">
        <v>1432.87</v>
      </c>
      <c r="P65" s="185">
        <v>1193.04</v>
      </c>
      <c r="Q65" s="185">
        <v>0</v>
      </c>
      <c r="R65" s="185">
        <v>0</v>
      </c>
      <c r="S65" s="185">
        <v>0</v>
      </c>
      <c r="T65" s="185">
        <v>0</v>
      </c>
      <c r="U65" s="185">
        <v>168.37</v>
      </c>
      <c r="V65" s="185">
        <v>0</v>
      </c>
      <c r="W65" s="185">
        <v>0</v>
      </c>
      <c r="X65" s="185">
        <v>0</v>
      </c>
      <c r="Y65" s="185">
        <v>17190.97</v>
      </c>
      <c r="Z65" s="185">
        <v>2646.01</v>
      </c>
      <c r="AA65" s="185">
        <v>0</v>
      </c>
      <c r="AB65" s="185">
        <v>0</v>
      </c>
      <c r="AC65" s="185">
        <v>0</v>
      </c>
      <c r="AD65" s="185">
        <v>0</v>
      </c>
      <c r="AE65" s="185">
        <v>4447.6499999999996</v>
      </c>
      <c r="AF65" s="185"/>
      <c r="AG65" s="185">
        <v>11435.3</v>
      </c>
      <c r="AH65" s="185"/>
      <c r="AI65" s="185"/>
      <c r="AJ65" s="185">
        <v>80608.070000000007</v>
      </c>
      <c r="AK65" s="185"/>
      <c r="AL65" s="185"/>
      <c r="AM65" s="185"/>
      <c r="AN65" s="185"/>
      <c r="AO65" s="185"/>
      <c r="AP65" s="185">
        <v>199408.1</v>
      </c>
      <c r="AQ65" s="185"/>
      <c r="AR65" s="185">
        <v>399965.89</v>
      </c>
      <c r="AS65" s="185"/>
      <c r="AT65" s="185"/>
      <c r="AU65" s="185"/>
      <c r="AV65" s="185">
        <v>4778.6400000000003</v>
      </c>
      <c r="AW65" s="185">
        <v>0</v>
      </c>
      <c r="AX65" s="185">
        <v>1128.33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377.37</v>
      </c>
      <c r="BE65" s="185">
        <v>3868105.01</v>
      </c>
      <c r="BF65" s="185">
        <v>528811.23</v>
      </c>
      <c r="BG65" s="185">
        <v>1112423.69</v>
      </c>
      <c r="BH65" s="185">
        <v>7504.0199999999995</v>
      </c>
      <c r="BI65" s="185">
        <v>1729.44</v>
      </c>
      <c r="BJ65" s="185">
        <v>0</v>
      </c>
      <c r="BK65" s="185">
        <v>6102.6200000000008</v>
      </c>
      <c r="BL65" s="185">
        <v>999.16</v>
      </c>
      <c r="BM65" s="185">
        <v>0</v>
      </c>
      <c r="BN65" s="185">
        <v>351.1</v>
      </c>
      <c r="BO65" s="185">
        <v>0</v>
      </c>
      <c r="BP65" s="185">
        <v>200</v>
      </c>
      <c r="BQ65" s="185">
        <v>0</v>
      </c>
      <c r="BR65" s="185">
        <v>0</v>
      </c>
      <c r="BS65" s="185">
        <v>1440.44</v>
      </c>
      <c r="BT65" s="185">
        <v>3716.6800000000003</v>
      </c>
      <c r="BU65" s="185">
        <v>0</v>
      </c>
      <c r="BV65" s="185">
        <v>95.65</v>
      </c>
      <c r="BW65" s="185">
        <v>0</v>
      </c>
      <c r="BX65" s="185">
        <v>2344.5500000000002</v>
      </c>
      <c r="BY65" s="185">
        <v>2103.96</v>
      </c>
      <c r="BZ65" s="185">
        <v>100</v>
      </c>
      <c r="CA65" s="185">
        <v>0</v>
      </c>
      <c r="CB65" s="185">
        <v>11127.369999999999</v>
      </c>
      <c r="CC65" s="185">
        <f>23391.05</f>
        <v>23391.05</v>
      </c>
      <c r="CD65" s="249" t="s">
        <v>221</v>
      </c>
      <c r="CE65" s="195">
        <f t="shared" si="0"/>
        <v>6359048.6899999985</v>
      </c>
      <c r="CF65" s="252"/>
      <c r="CH65" s="288"/>
      <c r="CI65" s="288"/>
    </row>
    <row r="66" spans="1:87" ht="12.65" customHeight="1" x14ac:dyDescent="0.35">
      <c r="A66" s="171" t="s">
        <v>239</v>
      </c>
      <c r="B66" s="175"/>
      <c r="C66" s="184">
        <v>480330.97000000009</v>
      </c>
      <c r="D66" s="184">
        <v>351625.16</v>
      </c>
      <c r="E66" s="184">
        <v>859918.00999999989</v>
      </c>
      <c r="F66" s="184">
        <v>0</v>
      </c>
      <c r="G66" s="184">
        <v>27584.93</v>
      </c>
      <c r="H66" s="184"/>
      <c r="I66" s="184"/>
      <c r="J66" s="184"/>
      <c r="K66" s="185"/>
      <c r="L66" s="185"/>
      <c r="M66" s="184">
        <v>175868.41</v>
      </c>
      <c r="N66" s="184">
        <v>8525.75</v>
      </c>
      <c r="O66" s="185">
        <v>271752.82</v>
      </c>
      <c r="P66" s="185">
        <v>2248251.5100000002</v>
      </c>
      <c r="Q66" s="185">
        <v>98557.72</v>
      </c>
      <c r="R66" s="185">
        <v>21505.21</v>
      </c>
      <c r="S66" s="184">
        <v>478285.13</v>
      </c>
      <c r="T66" s="184">
        <v>0</v>
      </c>
      <c r="U66" s="185">
        <v>5063054.47</v>
      </c>
      <c r="V66" s="185">
        <v>3004.11</v>
      </c>
      <c r="W66" s="185">
        <v>131974.10999999999</v>
      </c>
      <c r="X66" s="185">
        <v>479842.2</v>
      </c>
      <c r="Y66" s="185">
        <v>4420434.129999999</v>
      </c>
      <c r="Z66" s="185">
        <v>1501374.45</v>
      </c>
      <c r="AA66" s="185">
        <v>84181.24</v>
      </c>
      <c r="AB66" s="185">
        <v>266922.25000000006</v>
      </c>
      <c r="AC66" s="185">
        <v>12001.380000000001</v>
      </c>
      <c r="AD66" s="185">
        <v>0</v>
      </c>
      <c r="AE66" s="185">
        <v>65702.040000000008</v>
      </c>
      <c r="AF66" s="185"/>
      <c r="AG66" s="185">
        <v>713536.3899999999</v>
      </c>
      <c r="AH66" s="185"/>
      <c r="AI66" s="185"/>
      <c r="AJ66" s="185">
        <v>1391581.21</v>
      </c>
      <c r="AK66" s="185"/>
      <c r="AL66" s="185"/>
      <c r="AM66" s="185"/>
      <c r="AN66" s="185"/>
      <c r="AO66" s="185"/>
      <c r="AP66" s="185">
        <v>1427649.36</v>
      </c>
      <c r="AQ66" s="185"/>
      <c r="AR66" s="185">
        <v>2815349.5</v>
      </c>
      <c r="AS66" s="185"/>
      <c r="AT66" s="185"/>
      <c r="AU66" s="185"/>
      <c r="AV66" s="185">
        <v>262919.69</v>
      </c>
      <c r="AW66" s="185">
        <v>89498.35</v>
      </c>
      <c r="AX66" s="185">
        <v>2086264.5999999999</v>
      </c>
      <c r="AY66" s="185">
        <v>0</v>
      </c>
      <c r="AZ66" s="185">
        <v>35061.609999999935</v>
      </c>
      <c r="BA66" s="185">
        <v>3975.65</v>
      </c>
      <c r="BB66" s="185">
        <v>318149.88</v>
      </c>
      <c r="BC66" s="185">
        <v>0</v>
      </c>
      <c r="BD66" s="185">
        <v>49814.510000000009</v>
      </c>
      <c r="BE66" s="185">
        <v>2844082.7300000004</v>
      </c>
      <c r="BF66" s="185">
        <v>-987376.54999999993</v>
      </c>
      <c r="BG66" s="185">
        <v>134695.80000000002</v>
      </c>
      <c r="BH66" s="185">
        <v>13027896.460000003</v>
      </c>
      <c r="BI66" s="185">
        <v>238464.31</v>
      </c>
      <c r="BJ66" s="185">
        <v>112558.71</v>
      </c>
      <c r="BK66" s="185">
        <v>2678633.3800000008</v>
      </c>
      <c r="BL66" s="185">
        <v>147186.13</v>
      </c>
      <c r="BM66" s="185">
        <v>568477.31000000006</v>
      </c>
      <c r="BN66" s="185">
        <v>1139090.76</v>
      </c>
      <c r="BO66" s="185">
        <v>32143.77</v>
      </c>
      <c r="BP66" s="185">
        <v>2980712.4199999995</v>
      </c>
      <c r="BQ66" s="185">
        <v>5502.28</v>
      </c>
      <c r="BR66" s="185">
        <f>520538.02+160880.55</f>
        <v>681418.57000000007</v>
      </c>
      <c r="BS66" s="185">
        <v>15685.36</v>
      </c>
      <c r="BT66" s="185">
        <v>1851.72</v>
      </c>
      <c r="BU66" s="185">
        <v>0</v>
      </c>
      <c r="BV66" s="185">
        <v>1258079.1200000001</v>
      </c>
      <c r="BW66" s="185">
        <v>292443.99</v>
      </c>
      <c r="BX66" s="185">
        <v>683909.94</v>
      </c>
      <c r="BY66" s="185">
        <v>15054.990000000002</v>
      </c>
      <c r="BZ66" s="185">
        <v>237.64</v>
      </c>
      <c r="CA66" s="185">
        <v>122580.41000000002</v>
      </c>
      <c r="CB66" s="185">
        <v>196423.77999999997</v>
      </c>
      <c r="CC66" s="185">
        <f>3442200.7+181277.52+278781</f>
        <v>3902259.22</v>
      </c>
      <c r="CD66" s="249" t="s">
        <v>221</v>
      </c>
      <c r="CE66" s="195">
        <f t="shared" si="0"/>
        <v>56336509.000000015</v>
      </c>
      <c r="CF66" s="252"/>
      <c r="CH66" s="288"/>
      <c r="CI66" s="288"/>
    </row>
    <row r="67" spans="1:87" ht="12.65" customHeight="1" x14ac:dyDescent="0.35">
      <c r="A67" s="171" t="s">
        <v>6</v>
      </c>
      <c r="B67" s="175"/>
      <c r="C67" s="195">
        <f>ROUND(C51+C52,0)</f>
        <v>390111</v>
      </c>
      <c r="D67" s="195">
        <f>ROUND(D51+D52,0)</f>
        <v>1571370</v>
      </c>
      <c r="E67" s="195">
        <f t="shared" ref="E67:BP67" si="3">ROUND(E51+E52,0)</f>
        <v>2289328</v>
      </c>
      <c r="F67" s="195">
        <f t="shared" si="3"/>
        <v>0</v>
      </c>
      <c r="G67" s="195">
        <f t="shared" si="3"/>
        <v>102183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99680</v>
      </c>
      <c r="N67" s="195">
        <f t="shared" si="3"/>
        <v>6471</v>
      </c>
      <c r="O67" s="195">
        <f t="shared" si="3"/>
        <v>847708</v>
      </c>
      <c r="P67" s="195">
        <f t="shared" si="3"/>
        <v>2840478</v>
      </c>
      <c r="Q67" s="195">
        <f t="shared" si="3"/>
        <v>105922</v>
      </c>
      <c r="R67" s="195">
        <f t="shared" si="3"/>
        <v>157918</v>
      </c>
      <c r="S67" s="195">
        <f t="shared" si="3"/>
        <v>411286</v>
      </c>
      <c r="T67" s="195">
        <f t="shared" si="3"/>
        <v>0</v>
      </c>
      <c r="U67" s="195">
        <f t="shared" si="3"/>
        <v>554002</v>
      </c>
      <c r="V67" s="195">
        <f t="shared" si="3"/>
        <v>12060</v>
      </c>
      <c r="W67" s="195">
        <f t="shared" si="3"/>
        <v>211315</v>
      </c>
      <c r="X67" s="195">
        <f t="shared" si="3"/>
        <v>118128</v>
      </c>
      <c r="Y67" s="195">
        <f t="shared" si="3"/>
        <v>2903993</v>
      </c>
      <c r="Z67" s="195">
        <f t="shared" si="3"/>
        <v>1345347</v>
      </c>
      <c r="AA67" s="195">
        <f t="shared" si="3"/>
        <v>163470</v>
      </c>
      <c r="AB67" s="195">
        <f t="shared" si="3"/>
        <v>205190</v>
      </c>
      <c r="AC67" s="195">
        <f t="shared" si="3"/>
        <v>90997</v>
      </c>
      <c r="AD67" s="195">
        <f t="shared" si="3"/>
        <v>0</v>
      </c>
      <c r="AE67" s="195">
        <f t="shared" si="3"/>
        <v>208555</v>
      </c>
      <c r="AF67" s="195">
        <f t="shared" si="3"/>
        <v>0</v>
      </c>
      <c r="AG67" s="195">
        <f t="shared" si="3"/>
        <v>940621</v>
      </c>
      <c r="AH67" s="195">
        <f t="shared" si="3"/>
        <v>0</v>
      </c>
      <c r="AI67" s="195">
        <f t="shared" si="3"/>
        <v>0</v>
      </c>
      <c r="AJ67" s="195">
        <f t="shared" si="3"/>
        <v>3242138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2880963</v>
      </c>
      <c r="AQ67" s="195">
        <f t="shared" si="3"/>
        <v>0</v>
      </c>
      <c r="AR67" s="195">
        <f t="shared" si="3"/>
        <v>100893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246759</v>
      </c>
      <c r="AW67" s="195">
        <f t="shared" si="3"/>
        <v>27308</v>
      </c>
      <c r="AX67" s="195">
        <f t="shared" si="3"/>
        <v>0</v>
      </c>
      <c r="AY67" s="195">
        <f t="shared" si="3"/>
        <v>0</v>
      </c>
      <c r="AZ67" s="195">
        <f>ROUND(AZ51+AZ52,0)</f>
        <v>771202</v>
      </c>
      <c r="BA67" s="195">
        <f>ROUND(BA51+BA52,0)</f>
        <v>8539</v>
      </c>
      <c r="BB67" s="195">
        <f t="shared" si="3"/>
        <v>0</v>
      </c>
      <c r="BC67" s="195">
        <f t="shared" si="3"/>
        <v>15501</v>
      </c>
      <c r="BD67" s="195">
        <f t="shared" si="3"/>
        <v>80145</v>
      </c>
      <c r="BE67" s="195">
        <f t="shared" si="3"/>
        <v>6178184</v>
      </c>
      <c r="BF67" s="195">
        <f t="shared" si="3"/>
        <v>49622</v>
      </c>
      <c r="BG67" s="195">
        <f t="shared" si="3"/>
        <v>25760</v>
      </c>
      <c r="BH67" s="195">
        <f t="shared" si="3"/>
        <v>4922796</v>
      </c>
      <c r="BI67" s="195">
        <f t="shared" si="3"/>
        <v>173326</v>
      </c>
      <c r="BJ67" s="195">
        <f t="shared" si="3"/>
        <v>20589</v>
      </c>
      <c r="BK67" s="195">
        <f t="shared" si="3"/>
        <v>69202</v>
      </c>
      <c r="BL67" s="195">
        <f t="shared" si="3"/>
        <v>28895</v>
      </c>
      <c r="BM67" s="195">
        <f t="shared" si="3"/>
        <v>19558</v>
      </c>
      <c r="BN67" s="195">
        <f t="shared" si="3"/>
        <v>227620</v>
      </c>
      <c r="BO67" s="195">
        <f t="shared" si="3"/>
        <v>38727</v>
      </c>
      <c r="BP67" s="195">
        <f t="shared" si="3"/>
        <v>73493</v>
      </c>
      <c r="BQ67" s="195">
        <f t="shared" ref="BQ67:CC67" si="4">ROUND(BQ51+BQ52,0)</f>
        <v>4838</v>
      </c>
      <c r="BR67" s="195">
        <f t="shared" si="4"/>
        <v>15087</v>
      </c>
      <c r="BS67" s="195">
        <f t="shared" si="4"/>
        <v>16959</v>
      </c>
      <c r="BT67" s="195">
        <f t="shared" si="4"/>
        <v>20365</v>
      </c>
      <c r="BU67" s="195">
        <f t="shared" si="4"/>
        <v>0</v>
      </c>
      <c r="BV67" s="195">
        <f t="shared" si="4"/>
        <v>74146</v>
      </c>
      <c r="BW67" s="195">
        <f t="shared" si="4"/>
        <v>24088</v>
      </c>
      <c r="BX67" s="195">
        <f t="shared" si="4"/>
        <v>43337</v>
      </c>
      <c r="BY67" s="195">
        <f t="shared" si="4"/>
        <v>290769</v>
      </c>
      <c r="BZ67" s="195">
        <f t="shared" si="4"/>
        <v>13101</v>
      </c>
      <c r="CA67" s="195">
        <f t="shared" si="4"/>
        <v>4802</v>
      </c>
      <c r="CB67" s="195">
        <f t="shared" si="4"/>
        <v>37466</v>
      </c>
      <c r="CC67" s="195">
        <f t="shared" si="4"/>
        <v>76832</v>
      </c>
      <c r="CD67" s="249" t="s">
        <v>221</v>
      </c>
      <c r="CE67" s="195">
        <f t="shared" si="0"/>
        <v>35399143</v>
      </c>
      <c r="CF67" s="252"/>
      <c r="CH67" s="288"/>
      <c r="CI67" s="288"/>
    </row>
    <row r="68" spans="1:87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>
        <v>90172.75</v>
      </c>
      <c r="N68" s="184"/>
      <c r="O68" s="184"/>
      <c r="P68" s="185">
        <v>120629.03</v>
      </c>
      <c r="Q68" s="185">
        <v>34.270000000000003</v>
      </c>
      <c r="R68" s="185">
        <v>0</v>
      </c>
      <c r="S68" s="185">
        <v>0</v>
      </c>
      <c r="T68" s="185">
        <v>0</v>
      </c>
      <c r="U68" s="185">
        <v>69573.09</v>
      </c>
      <c r="V68" s="185"/>
      <c r="W68" s="185"/>
      <c r="X68" s="185"/>
      <c r="Y68" s="185">
        <v>405786.18</v>
      </c>
      <c r="Z68" s="185">
        <v>0</v>
      </c>
      <c r="AA68" s="185">
        <v>0</v>
      </c>
      <c r="AB68" s="185">
        <v>0</v>
      </c>
      <c r="AC68" s="185">
        <v>2963.98</v>
      </c>
      <c r="AD68" s="185"/>
      <c r="AE68" s="185">
        <v>146274.54</v>
      </c>
      <c r="AF68" s="287"/>
      <c r="AG68" s="185">
        <v>585155.81999999995</v>
      </c>
      <c r="AH68" s="185"/>
      <c r="AI68" s="185"/>
      <c r="AJ68" s="185">
        <v>287757.74</v>
      </c>
      <c r="AK68" s="185"/>
      <c r="AL68" s="185"/>
      <c r="AM68" s="185"/>
      <c r="AN68" s="185"/>
      <c r="AO68" s="185"/>
      <c r="AP68" s="185">
        <v>5820520.8799999999</v>
      </c>
      <c r="AQ68" s="185"/>
      <c r="AR68" s="185">
        <v>1757913.5</v>
      </c>
      <c r="AS68" s="185"/>
      <c r="AT68" s="185"/>
      <c r="AU68" s="185"/>
      <c r="AV68" s="185"/>
      <c r="AW68" s="185"/>
      <c r="AX68" s="185">
        <v>1613744.74</v>
      </c>
      <c r="AY68" s="185">
        <v>0</v>
      </c>
      <c r="AZ68" s="185">
        <v>11370.74</v>
      </c>
      <c r="BA68" s="185">
        <v>0</v>
      </c>
      <c r="BB68" s="185">
        <v>0</v>
      </c>
      <c r="BC68" s="185">
        <v>0</v>
      </c>
      <c r="BD68" s="185">
        <v>0</v>
      </c>
      <c r="BE68" s="185">
        <v>3583301.32</v>
      </c>
      <c r="BF68" s="185">
        <v>0</v>
      </c>
      <c r="BG68" s="185">
        <v>9256.02</v>
      </c>
      <c r="BH68" s="185">
        <v>0</v>
      </c>
      <c r="BI68" s="185">
        <v>1174135.8600000001</v>
      </c>
      <c r="BJ68" s="185">
        <v>0</v>
      </c>
      <c r="BK68" s="185">
        <v>117732.06000000001</v>
      </c>
      <c r="BL68" s="185">
        <v>0</v>
      </c>
      <c r="BM68" s="185">
        <v>0</v>
      </c>
      <c r="BN68" s="185">
        <v>2262.0300000000002</v>
      </c>
      <c r="BO68" s="185">
        <v>0</v>
      </c>
      <c r="BP68" s="185">
        <v>0</v>
      </c>
      <c r="BQ68" s="185">
        <v>0</v>
      </c>
      <c r="BR68" s="185">
        <v>8478.7099999999991</v>
      </c>
      <c r="BS68" s="185">
        <v>0</v>
      </c>
      <c r="BT68" s="185">
        <v>0</v>
      </c>
      <c r="BU68" s="185">
        <v>0</v>
      </c>
      <c r="BV68" s="185">
        <v>81611.09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146428.03</v>
      </c>
      <c r="CC68" s="185">
        <f>2595+604.62</f>
        <v>3199.62</v>
      </c>
      <c r="CD68" s="249" t="s">
        <v>221</v>
      </c>
      <c r="CE68" s="195">
        <f t="shared" si="0"/>
        <v>16038302</v>
      </c>
      <c r="CF68" s="252"/>
      <c r="CH68" s="288"/>
      <c r="CI68" s="288"/>
    </row>
    <row r="69" spans="1:87" ht="12.65" customHeight="1" x14ac:dyDescent="0.35">
      <c r="A69" s="171" t="s">
        <v>241</v>
      </c>
      <c r="B69" s="175"/>
      <c r="C69" s="184">
        <v>102874.15999999999</v>
      </c>
      <c r="D69" s="184">
        <v>3065.1000000000004</v>
      </c>
      <c r="E69" s="185">
        <v>11971</v>
      </c>
      <c r="F69" s="185">
        <v>0</v>
      </c>
      <c r="G69" s="184">
        <v>11577.110000000002</v>
      </c>
      <c r="H69" s="184"/>
      <c r="I69" s="185"/>
      <c r="J69" s="185"/>
      <c r="K69" s="185"/>
      <c r="L69" s="185"/>
      <c r="M69" s="184">
        <v>44047.91</v>
      </c>
      <c r="N69" s="184">
        <v>211423.84999999998</v>
      </c>
      <c r="O69" s="184">
        <v>70699.569999999992</v>
      </c>
      <c r="P69" s="185">
        <v>21542.32</v>
      </c>
      <c r="Q69" s="185">
        <v>5268.02</v>
      </c>
      <c r="R69" s="224">
        <v>690</v>
      </c>
      <c r="S69" s="185">
        <v>2201.21</v>
      </c>
      <c r="T69" s="184">
        <v>0</v>
      </c>
      <c r="U69" s="185">
        <v>20776.46</v>
      </c>
      <c r="V69" s="185"/>
      <c r="W69" s="184">
        <v>2906.11</v>
      </c>
      <c r="X69" s="185">
        <v>8326.11</v>
      </c>
      <c r="Y69" s="185">
        <v>42337.000000000007</v>
      </c>
      <c r="Z69" s="185">
        <v>45930.95</v>
      </c>
      <c r="AA69" s="185">
        <v>13013</v>
      </c>
      <c r="AB69" s="185">
        <v>30993.78</v>
      </c>
      <c r="AC69" s="185">
        <v>2500.0499999999997</v>
      </c>
      <c r="AD69" s="185"/>
      <c r="AE69" s="185">
        <v>27727.69</v>
      </c>
      <c r="AF69" s="287"/>
      <c r="AG69" s="185">
        <v>27118.48</v>
      </c>
      <c r="AH69" s="185"/>
      <c r="AI69" s="185"/>
      <c r="AJ69" s="185">
        <v>1273804.6900000002</v>
      </c>
      <c r="AK69" s="185"/>
      <c r="AL69" s="185"/>
      <c r="AM69" s="185"/>
      <c r="AN69" s="185"/>
      <c r="AO69" s="184"/>
      <c r="AP69" s="185">
        <v>1054189.4200000002</v>
      </c>
      <c r="AQ69" s="184"/>
      <c r="AR69" s="184">
        <v>1496809.53</v>
      </c>
      <c r="AS69" s="184"/>
      <c r="AT69" s="184"/>
      <c r="AU69" s="185"/>
      <c r="AV69" s="185">
        <v>3646.4</v>
      </c>
      <c r="AW69" s="185">
        <v>82410.23</v>
      </c>
      <c r="AX69" s="185">
        <v>11729.47</v>
      </c>
      <c r="AY69" s="185">
        <v>0</v>
      </c>
      <c r="AZ69" s="185">
        <v>155.4</v>
      </c>
      <c r="BA69" s="185">
        <v>0</v>
      </c>
      <c r="BB69" s="185">
        <v>0</v>
      </c>
      <c r="BC69" s="185">
        <v>0</v>
      </c>
      <c r="BD69" s="185">
        <v>214460.12</v>
      </c>
      <c r="BE69" s="185">
        <v>187413.85</v>
      </c>
      <c r="BF69" s="185">
        <v>954</v>
      </c>
      <c r="BG69" s="185">
        <v>5482.4699999999993</v>
      </c>
      <c r="BH69" s="224">
        <v>51746.97</v>
      </c>
      <c r="BI69" s="185">
        <v>44771.450000000004</v>
      </c>
      <c r="BJ69" s="185">
        <v>1747.97</v>
      </c>
      <c r="BK69" s="185">
        <v>8906.02</v>
      </c>
      <c r="BL69" s="185">
        <v>5046.84</v>
      </c>
      <c r="BM69" s="185">
        <v>17812.490000000002</v>
      </c>
      <c r="BN69" s="185">
        <v>747855.6399999999</v>
      </c>
      <c r="BO69" s="185">
        <v>11786.46</v>
      </c>
      <c r="BP69" s="185">
        <v>14972.54</v>
      </c>
      <c r="BQ69" s="185">
        <v>2224.3199999999997</v>
      </c>
      <c r="BR69" s="185">
        <v>24466.989999999998</v>
      </c>
      <c r="BS69" s="185">
        <v>333.99</v>
      </c>
      <c r="BT69" s="185">
        <v>184.47</v>
      </c>
      <c r="BU69" s="185">
        <v>236001.51</v>
      </c>
      <c r="BV69" s="185">
        <v>5729.4299999999994</v>
      </c>
      <c r="BW69" s="185">
        <v>45129.970000000008</v>
      </c>
      <c r="BX69" s="185">
        <v>44144.509999999995</v>
      </c>
      <c r="BY69" s="185">
        <v>34347.64</v>
      </c>
      <c r="BZ69" s="185">
        <v>3321.0200000000004</v>
      </c>
      <c r="CA69" s="185">
        <v>413790.42</v>
      </c>
      <c r="CB69" s="185">
        <v>5757.29</v>
      </c>
      <c r="CC69" s="185">
        <v>2670013.4899999998</v>
      </c>
      <c r="CD69" s="188">
        <f>2768487.3+1090430.34+4948654.9+76014.53+1442005.26</f>
        <v>10325592.329999998</v>
      </c>
      <c r="CE69" s="195">
        <f t="shared" si="0"/>
        <v>19753729.219999999</v>
      </c>
      <c r="CF69" s="252"/>
      <c r="CH69" s="288"/>
      <c r="CI69" s="288"/>
    </row>
    <row r="70" spans="1:87" ht="12.65" customHeight="1" x14ac:dyDescent="0.35">
      <c r="A70" s="171" t="s">
        <v>242</v>
      </c>
      <c r="B70" s="175"/>
      <c r="C70" s="184">
        <v>37201.160000000003</v>
      </c>
      <c r="D70" s="184">
        <v>0</v>
      </c>
      <c r="E70" s="184">
        <v>697.27</v>
      </c>
      <c r="F70" s="185">
        <v>0</v>
      </c>
      <c r="G70" s="184">
        <v>0</v>
      </c>
      <c r="H70" s="184"/>
      <c r="I70" s="184"/>
      <c r="J70" s="185"/>
      <c r="K70" s="185"/>
      <c r="L70" s="185"/>
      <c r="M70" s="184">
        <v>356430.64</v>
      </c>
      <c r="N70" s="184">
        <v>281391.34999999998</v>
      </c>
      <c r="O70" s="184">
        <v>22352.31</v>
      </c>
      <c r="P70" s="184">
        <v>0</v>
      </c>
      <c r="Q70" s="184">
        <v>750</v>
      </c>
      <c r="R70" s="184">
        <v>0</v>
      </c>
      <c r="S70" s="184">
        <v>0</v>
      </c>
      <c r="T70" s="184">
        <v>0</v>
      </c>
      <c r="U70" s="185">
        <v>375664.72</v>
      </c>
      <c r="V70" s="184">
        <v>4870.4399999999996</v>
      </c>
      <c r="W70" s="184">
        <v>0</v>
      </c>
      <c r="X70" s="185">
        <v>0</v>
      </c>
      <c r="Y70" s="185">
        <v>13081</v>
      </c>
      <c r="Z70" s="185">
        <v>24164.46</v>
      </c>
      <c r="AA70" s="185">
        <v>0</v>
      </c>
      <c r="AB70" s="185">
        <v>7078.85</v>
      </c>
      <c r="AC70" s="185">
        <v>0</v>
      </c>
      <c r="AD70" s="185">
        <v>0</v>
      </c>
      <c r="AE70" s="185">
        <v>17559.189999999999</v>
      </c>
      <c r="AF70" s="185"/>
      <c r="AG70" s="185">
        <v>6349.78</v>
      </c>
      <c r="AH70" s="185"/>
      <c r="AI70" s="185"/>
      <c r="AJ70" s="185">
        <v>2122415.7400000002</v>
      </c>
      <c r="AK70" s="185"/>
      <c r="AL70" s="185"/>
      <c r="AM70" s="185"/>
      <c r="AN70" s="185"/>
      <c r="AO70" s="185"/>
      <c r="AP70" s="185">
        <v>4675709.4000000004</v>
      </c>
      <c r="AQ70" s="185"/>
      <c r="AR70" s="185">
        <v>130510.92</v>
      </c>
      <c r="AS70" s="185"/>
      <c r="AT70" s="185"/>
      <c r="AU70" s="185"/>
      <c r="AV70" s="185">
        <v>5737663.79</v>
      </c>
      <c r="AW70" s="185">
        <v>3029734.48</v>
      </c>
      <c r="AX70" s="185">
        <v>0</v>
      </c>
      <c r="AY70" s="185">
        <v>0</v>
      </c>
      <c r="AZ70" s="185">
        <v>2110461.04</v>
      </c>
      <c r="BA70" s="185">
        <v>0</v>
      </c>
      <c r="BB70" s="185">
        <v>0</v>
      </c>
      <c r="BC70" s="185">
        <v>0</v>
      </c>
      <c r="BD70" s="185">
        <v>236.67</v>
      </c>
      <c r="BE70" s="185">
        <v>6395689.1600000001</v>
      </c>
      <c r="BF70" s="185">
        <v>9838.48</v>
      </c>
      <c r="BG70" s="185">
        <v>459595.91</v>
      </c>
      <c r="BH70" s="185">
        <v>151478.03</v>
      </c>
      <c r="BI70" s="185">
        <v>1276974.72</v>
      </c>
      <c r="BJ70" s="185">
        <v>225641.27</v>
      </c>
      <c r="BK70" s="185">
        <v>0</v>
      </c>
      <c r="BL70" s="185">
        <v>418980.26</v>
      </c>
      <c r="BM70" s="185">
        <v>0</v>
      </c>
      <c r="BN70" s="185">
        <v>562.05999999999995</v>
      </c>
      <c r="BO70" s="185">
        <v>1511.93</v>
      </c>
      <c r="BP70" s="185">
        <v>0</v>
      </c>
      <c r="BQ70" s="185">
        <v>0</v>
      </c>
      <c r="BR70" s="185">
        <v>336.12</v>
      </c>
      <c r="BS70" s="185">
        <v>651076.91</v>
      </c>
      <c r="BT70" s="185">
        <v>24.96</v>
      </c>
      <c r="BU70" s="185">
        <v>15000</v>
      </c>
      <c r="BV70" s="185">
        <v>1807.55</v>
      </c>
      <c r="BW70" s="185">
        <v>136500</v>
      </c>
      <c r="BX70" s="185">
        <v>232198.49</v>
      </c>
      <c r="BY70" s="185">
        <v>29590</v>
      </c>
      <c r="BZ70" s="185">
        <v>0</v>
      </c>
      <c r="CA70" s="185">
        <v>8801.85</v>
      </c>
      <c r="CB70" s="185">
        <v>1211163.8500000001</v>
      </c>
      <c r="CC70" s="185">
        <v>12574886.6</v>
      </c>
      <c r="CD70" s="188">
        <v>11767.86</v>
      </c>
      <c r="CE70" s="195">
        <f t="shared" si="0"/>
        <v>42767749.220000006</v>
      </c>
      <c r="CF70" s="252"/>
      <c r="CH70" s="288"/>
      <c r="CI70" s="288"/>
    </row>
    <row r="71" spans="1:87" ht="12.65" customHeight="1" x14ac:dyDescent="0.35">
      <c r="A71" s="171" t="s">
        <v>243</v>
      </c>
      <c r="B71" s="175"/>
      <c r="C71" s="195">
        <f>SUM(C61:C68)+C69-C70</f>
        <v>22132583.199999996</v>
      </c>
      <c r="D71" s="195">
        <f t="shared" ref="D71:AI71" si="5">SUM(D61:D69)-D70</f>
        <v>10968660.060000002</v>
      </c>
      <c r="E71" s="195">
        <f t="shared" si="5"/>
        <v>32242441.009999998</v>
      </c>
      <c r="F71" s="195">
        <f t="shared" si="5"/>
        <v>48890.770000000004</v>
      </c>
      <c r="G71" s="195">
        <f t="shared" si="5"/>
        <v>2494465.5099999998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6217062.29</v>
      </c>
      <c r="N71" s="195">
        <f t="shared" si="5"/>
        <v>17467264.460000001</v>
      </c>
      <c r="O71" s="195">
        <f t="shared" si="5"/>
        <v>27092826.789999995</v>
      </c>
      <c r="P71" s="195">
        <f t="shared" si="5"/>
        <v>55090879.239999995</v>
      </c>
      <c r="Q71" s="195">
        <f t="shared" si="5"/>
        <v>9202884.5699999984</v>
      </c>
      <c r="R71" s="195">
        <f t="shared" si="5"/>
        <v>1436582.5699999998</v>
      </c>
      <c r="S71" s="195">
        <f t="shared" si="5"/>
        <v>3082175.71</v>
      </c>
      <c r="T71" s="195">
        <f t="shared" si="5"/>
        <v>0</v>
      </c>
      <c r="U71" s="195">
        <f t="shared" si="5"/>
        <v>17081767</v>
      </c>
      <c r="V71" s="195">
        <f t="shared" si="5"/>
        <v>198617.35</v>
      </c>
      <c r="W71" s="195">
        <f t="shared" si="5"/>
        <v>1372797.97</v>
      </c>
      <c r="X71" s="195">
        <f t="shared" si="5"/>
        <v>2708222.34</v>
      </c>
      <c r="Y71" s="195">
        <f t="shared" si="5"/>
        <v>30446681.539999995</v>
      </c>
      <c r="Z71" s="195">
        <f t="shared" si="5"/>
        <v>7915170.7400000002</v>
      </c>
      <c r="AA71" s="195">
        <f t="shared" si="5"/>
        <v>1110507.73</v>
      </c>
      <c r="AB71" s="195">
        <f t="shared" si="5"/>
        <v>26391855.509999994</v>
      </c>
      <c r="AC71" s="195">
        <f t="shared" si="5"/>
        <v>3206966.8299999996</v>
      </c>
      <c r="AD71" s="195">
        <f t="shared" si="5"/>
        <v>0</v>
      </c>
      <c r="AE71" s="195">
        <f t="shared" si="5"/>
        <v>7099658.459999999</v>
      </c>
      <c r="AF71" s="195">
        <f t="shared" si="5"/>
        <v>0</v>
      </c>
      <c r="AG71" s="195">
        <f>SUM(AG61:AG69)-AG70</f>
        <v>17123804.620000001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95876828.919999972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70319009.890000001</v>
      </c>
      <c r="AQ71" s="195">
        <f t="shared" si="6"/>
        <v>0</v>
      </c>
      <c r="AR71" s="195">
        <f t="shared" si="6"/>
        <v>66164491.689999998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2706414.7300000014</v>
      </c>
      <c r="AW71" s="195">
        <f t="shared" si="6"/>
        <v>-1098339.9150000003</v>
      </c>
      <c r="AX71" s="195">
        <f t="shared" si="6"/>
        <v>4071206.3700000006</v>
      </c>
      <c r="AY71" s="195">
        <f t="shared" si="6"/>
        <v>0</v>
      </c>
      <c r="AZ71" s="195">
        <f t="shared" si="6"/>
        <v>4576418.7300000004</v>
      </c>
      <c r="BA71" s="195">
        <f t="shared" si="6"/>
        <v>380498.7</v>
      </c>
      <c r="BB71" s="195">
        <f t="shared" si="6"/>
        <v>318149.88</v>
      </c>
      <c r="BC71" s="195">
        <f t="shared" si="6"/>
        <v>439688.55000000005</v>
      </c>
      <c r="BD71" s="195">
        <f t="shared" si="6"/>
        <v>3042193.1400000006</v>
      </c>
      <c r="BE71" s="195">
        <f t="shared" si="6"/>
        <v>15143013.750000004</v>
      </c>
      <c r="BF71" s="195">
        <f t="shared" si="6"/>
        <v>6041792.9999999991</v>
      </c>
      <c r="BG71" s="195">
        <f t="shared" si="6"/>
        <v>2595456.46</v>
      </c>
      <c r="BH71" s="195">
        <f t="shared" si="6"/>
        <v>32651147.949999999</v>
      </c>
      <c r="BI71" s="195">
        <f t="shared" si="6"/>
        <v>2729294.7800000012</v>
      </c>
      <c r="BJ71" s="195">
        <f t="shared" si="6"/>
        <v>2092687.9900000002</v>
      </c>
      <c r="BK71" s="195">
        <f t="shared" si="6"/>
        <v>9970506.790000001</v>
      </c>
      <c r="BL71" s="195">
        <f t="shared" si="6"/>
        <v>4505444.5799999991</v>
      </c>
      <c r="BM71" s="195">
        <f t="shared" si="6"/>
        <v>4297307.97</v>
      </c>
      <c r="BN71" s="195">
        <f t="shared" si="6"/>
        <v>15620547.799000001</v>
      </c>
      <c r="BO71" s="195">
        <f t="shared" si="6"/>
        <v>1114407.75</v>
      </c>
      <c r="BP71" s="195">
        <f t="shared" ref="BP71:CC71" si="7">SUM(BP61:BP69)-BP70</f>
        <v>4310649.8899999997</v>
      </c>
      <c r="BQ71" s="195">
        <f t="shared" si="7"/>
        <v>589983.66</v>
      </c>
      <c r="BR71" s="195">
        <f t="shared" si="7"/>
        <v>3951275.63</v>
      </c>
      <c r="BS71" s="195">
        <f t="shared" si="7"/>
        <v>189711.86999999988</v>
      </c>
      <c r="BT71" s="195">
        <f t="shared" si="7"/>
        <v>184738.65</v>
      </c>
      <c r="BU71" s="195">
        <f t="shared" si="7"/>
        <v>221001.51</v>
      </c>
      <c r="BV71" s="195">
        <f t="shared" si="7"/>
        <v>6066399.4300000006</v>
      </c>
      <c r="BW71" s="195">
        <f t="shared" si="7"/>
        <v>3192118.2499999995</v>
      </c>
      <c r="BX71" s="195">
        <f t="shared" si="7"/>
        <v>7911659.6999999993</v>
      </c>
      <c r="BY71" s="195">
        <f t="shared" si="7"/>
        <v>2702715.4700000007</v>
      </c>
      <c r="BZ71" s="195">
        <f t="shared" si="7"/>
        <v>3735747.6800000006</v>
      </c>
      <c r="CA71" s="195">
        <f t="shared" si="7"/>
        <v>1898288.1699999995</v>
      </c>
      <c r="CB71" s="195">
        <f t="shared" si="7"/>
        <v>5321162.089999998</v>
      </c>
      <c r="CC71" s="195">
        <f t="shared" si="7"/>
        <v>2797227.0600000005</v>
      </c>
      <c r="CD71" s="245">
        <f>CD69-CD70</f>
        <v>10313824.469999999</v>
      </c>
      <c r="CE71" s="195">
        <f>SUM(CE61:CE69)-CE70</f>
        <v>699077439.30400002</v>
      </c>
      <c r="CF71" s="252"/>
      <c r="CH71" s="288"/>
      <c r="CI71" s="288"/>
    </row>
    <row r="72" spans="1:87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26804430</v>
      </c>
      <c r="CF72" s="252"/>
      <c r="CH72" s="288"/>
      <c r="CI72" s="288"/>
    </row>
    <row r="73" spans="1:87" ht="12.65" customHeight="1" x14ac:dyDescent="0.35">
      <c r="A73" s="171" t="s">
        <v>245</v>
      </c>
      <c r="B73" s="175"/>
      <c r="C73" s="184">
        <v>79160790.480000004</v>
      </c>
      <c r="D73" s="184">
        <v>45668015.170000002</v>
      </c>
      <c r="E73" s="185">
        <v>123594287.95999999</v>
      </c>
      <c r="F73" s="185">
        <v>0</v>
      </c>
      <c r="G73" s="184">
        <v>15003584.65</v>
      </c>
      <c r="H73" s="184"/>
      <c r="I73" s="185"/>
      <c r="J73" s="185"/>
      <c r="K73" s="185"/>
      <c r="L73" s="185"/>
      <c r="M73" s="184">
        <f>6491266.12+94.2</f>
        <v>6491360.3200000003</v>
      </c>
      <c r="N73" s="184">
        <v>16216475</v>
      </c>
      <c r="O73" s="184">
        <v>109886639</v>
      </c>
      <c r="P73" s="185">
        <v>104360103</v>
      </c>
      <c r="Q73" s="185">
        <v>6428609</v>
      </c>
      <c r="R73" s="185">
        <v>13460492</v>
      </c>
      <c r="S73" s="185">
        <v>0</v>
      </c>
      <c r="T73" s="185">
        <v>0</v>
      </c>
      <c r="U73" s="185">
        <v>64167676</v>
      </c>
      <c r="V73" s="185">
        <v>1454601</v>
      </c>
      <c r="W73" s="185">
        <v>5409570</v>
      </c>
      <c r="X73" s="185">
        <v>21049529</v>
      </c>
      <c r="Y73" s="185">
        <v>44496549</v>
      </c>
      <c r="Z73" s="185">
        <v>1091616</v>
      </c>
      <c r="AA73" s="185">
        <v>888011</v>
      </c>
      <c r="AB73" s="185">
        <v>70782228.480000004</v>
      </c>
      <c r="AC73" s="185">
        <v>19440790</v>
      </c>
      <c r="AD73" s="185">
        <v>0</v>
      </c>
      <c r="AE73" s="185">
        <v>15380649.65</v>
      </c>
      <c r="AF73" s="185"/>
      <c r="AG73" s="185">
        <v>37506521.289999999</v>
      </c>
      <c r="AH73" s="185">
        <v>0</v>
      </c>
      <c r="AI73" s="185">
        <v>0</v>
      </c>
      <c r="AJ73" s="185">
        <v>28208363.600000001</v>
      </c>
      <c r="AK73" s="185"/>
      <c r="AL73" s="185"/>
      <c r="AM73" s="185"/>
      <c r="AN73" s="185"/>
      <c r="AO73" s="185"/>
      <c r="AP73" s="185">
        <v>4312238.92</v>
      </c>
      <c r="AQ73" s="185"/>
      <c r="AR73" s="185">
        <v>-2974.79</v>
      </c>
      <c r="AS73" s="185"/>
      <c r="AT73" s="185"/>
      <c r="AU73" s="185"/>
      <c r="AV73" s="185">
        <f>2362397+53695</f>
        <v>2416092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836871817.73000002</v>
      </c>
      <c r="CF73" s="252"/>
      <c r="CH73" s="288"/>
      <c r="CI73" s="288"/>
    </row>
    <row r="74" spans="1:87" ht="12.65" customHeight="1" x14ac:dyDescent="0.35">
      <c r="A74" s="171" t="s">
        <v>246</v>
      </c>
      <c r="B74" s="175"/>
      <c r="C74" s="184">
        <v>-46039</v>
      </c>
      <c r="D74" s="184">
        <v>366130</v>
      </c>
      <c r="E74" s="185">
        <v>4194310.75</v>
      </c>
      <c r="F74" s="185">
        <v>0</v>
      </c>
      <c r="G74" s="184">
        <v>190</v>
      </c>
      <c r="H74" s="184"/>
      <c r="I74" s="184"/>
      <c r="J74" s="185"/>
      <c r="K74" s="185"/>
      <c r="L74" s="185"/>
      <c r="M74" s="184">
        <v>249177</v>
      </c>
      <c r="N74" s="184">
        <v>1169470.82</v>
      </c>
      <c r="O74" s="184">
        <v>4399531</v>
      </c>
      <c r="P74" s="185">
        <v>190323837.06</v>
      </c>
      <c r="Q74" s="185">
        <v>20787120</v>
      </c>
      <c r="R74" s="185">
        <v>30897687</v>
      </c>
      <c r="S74" s="185">
        <v>0</v>
      </c>
      <c r="T74" s="185">
        <v>0</v>
      </c>
      <c r="U74" s="185">
        <v>51207513.270000003</v>
      </c>
      <c r="V74" s="185">
        <v>517116</v>
      </c>
      <c r="W74" s="185">
        <v>10780148</v>
      </c>
      <c r="X74" s="185">
        <v>46106983</v>
      </c>
      <c r="Y74" s="185">
        <v>132010942</v>
      </c>
      <c r="Z74" s="185">
        <v>39228342</v>
      </c>
      <c r="AA74" s="185">
        <v>3149507</v>
      </c>
      <c r="AB74" s="185">
        <v>76804694.819999993</v>
      </c>
      <c r="AC74" s="185">
        <v>767799</v>
      </c>
      <c r="AD74" s="185">
        <v>0</v>
      </c>
      <c r="AE74" s="185">
        <v>19854380.219999999</v>
      </c>
      <c r="AF74" s="185"/>
      <c r="AG74" s="185">
        <v>135860605.00999999</v>
      </c>
      <c r="AH74" s="185">
        <v>0</v>
      </c>
      <c r="AI74" s="185">
        <v>0</v>
      </c>
      <c r="AJ74" s="185">
        <v>159458282.32999998</v>
      </c>
      <c r="AK74" s="185"/>
      <c r="AL74" s="185"/>
      <c r="AM74" s="185"/>
      <c r="AN74" s="185"/>
      <c r="AO74" s="185"/>
      <c r="AP74" s="185">
        <v>114431336.81999999</v>
      </c>
      <c r="AQ74" s="185"/>
      <c r="AR74" s="185">
        <v>128468471</v>
      </c>
      <c r="AS74" s="185"/>
      <c r="AT74" s="185"/>
      <c r="AU74" s="185"/>
      <c r="AV74" s="185">
        <f>10043042.63+4452+21282</f>
        <v>10068776.630000001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1181056311.73</v>
      </c>
      <c r="CF74" s="252"/>
      <c r="CH74" s="288"/>
      <c r="CI74" s="288"/>
    </row>
    <row r="75" spans="1:87" ht="12.65" customHeight="1" x14ac:dyDescent="0.35">
      <c r="A75" s="171" t="s">
        <v>247</v>
      </c>
      <c r="B75" s="175"/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95">
        <f t="shared" ref="H75:AV75" si="9">SUM(H73:H74)</f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6740537.3200000003</v>
      </c>
      <c r="N75" s="195">
        <f t="shared" si="9"/>
        <v>17385945.82</v>
      </c>
      <c r="O75" s="195">
        <f t="shared" si="9"/>
        <v>114286170</v>
      </c>
      <c r="P75" s="195">
        <f t="shared" si="9"/>
        <v>294683940.06</v>
      </c>
      <c r="Q75" s="195">
        <f t="shared" si="9"/>
        <v>27215729</v>
      </c>
      <c r="R75" s="195">
        <f t="shared" si="9"/>
        <v>44358179</v>
      </c>
      <c r="S75" s="195">
        <f t="shared" si="9"/>
        <v>0</v>
      </c>
      <c r="T75" s="195">
        <f t="shared" si="9"/>
        <v>0</v>
      </c>
      <c r="U75" s="195">
        <f t="shared" si="9"/>
        <v>115375189.27000001</v>
      </c>
      <c r="V75" s="195">
        <f t="shared" si="9"/>
        <v>1971717</v>
      </c>
      <c r="W75" s="195">
        <f t="shared" si="9"/>
        <v>16189718</v>
      </c>
      <c r="X75" s="195">
        <f t="shared" si="9"/>
        <v>67156512</v>
      </c>
      <c r="Y75" s="195">
        <f t="shared" si="9"/>
        <v>176507491</v>
      </c>
      <c r="Z75" s="195">
        <f t="shared" si="9"/>
        <v>40319958</v>
      </c>
      <c r="AA75" s="195">
        <f t="shared" si="9"/>
        <v>4037518</v>
      </c>
      <c r="AB75" s="195">
        <f t="shared" si="9"/>
        <v>147586923.30000001</v>
      </c>
      <c r="AC75" s="195">
        <f t="shared" si="9"/>
        <v>20208589</v>
      </c>
      <c r="AD75" s="195">
        <f t="shared" si="9"/>
        <v>0</v>
      </c>
      <c r="AE75" s="195">
        <f t="shared" si="9"/>
        <v>35235029.869999997</v>
      </c>
      <c r="AF75" s="195">
        <f t="shared" si="9"/>
        <v>0</v>
      </c>
      <c r="AG75" s="195">
        <f t="shared" si="9"/>
        <v>173367126.29999998</v>
      </c>
      <c r="AH75" s="195">
        <f t="shared" si="9"/>
        <v>0</v>
      </c>
      <c r="AI75" s="195">
        <f t="shared" si="9"/>
        <v>0</v>
      </c>
      <c r="AJ75" s="195">
        <f t="shared" si="9"/>
        <v>187666645.92999998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118743575.73999999</v>
      </c>
      <c r="AQ75" s="195">
        <f t="shared" si="9"/>
        <v>0</v>
      </c>
      <c r="AR75" s="195">
        <f t="shared" si="9"/>
        <v>128465496.20999999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12484868.630000001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1749986859.45</v>
      </c>
      <c r="CF75" s="252"/>
      <c r="CH75" s="288"/>
      <c r="CI75" s="288"/>
    </row>
    <row r="76" spans="1:87" ht="12.65" customHeight="1" x14ac:dyDescent="0.35">
      <c r="A76" s="171" t="s">
        <v>248</v>
      </c>
      <c r="B76" s="175"/>
      <c r="C76" s="184">
        <v>31983</v>
      </c>
      <c r="D76" s="184">
        <v>24449</v>
      </c>
      <c r="E76" s="185">
        <v>112438</v>
      </c>
      <c r="F76" s="185">
        <v>151</v>
      </c>
      <c r="G76" s="184">
        <v>8820</v>
      </c>
      <c r="H76" s="184"/>
      <c r="I76" s="185"/>
      <c r="J76" s="185"/>
      <c r="K76" s="185"/>
      <c r="L76" s="185"/>
      <c r="M76" s="185">
        <v>20520</v>
      </c>
      <c r="N76" s="185">
        <v>5112</v>
      </c>
      <c r="O76" s="185">
        <v>54399</v>
      </c>
      <c r="P76" s="185">
        <v>74685</v>
      </c>
      <c r="Q76" s="185">
        <v>5119</v>
      </c>
      <c r="R76" s="185">
        <v>651</v>
      </c>
      <c r="S76" s="185">
        <v>10270</v>
      </c>
      <c r="T76" s="185"/>
      <c r="U76" s="185">
        <v>23647</v>
      </c>
      <c r="V76" s="185">
        <v>314</v>
      </c>
      <c r="W76" s="185">
        <v>6257</v>
      </c>
      <c r="X76" s="185">
        <v>3166</v>
      </c>
      <c r="Y76" s="185">
        <v>53104</v>
      </c>
      <c r="Z76" s="185">
        <v>16493</v>
      </c>
      <c r="AA76" s="185">
        <v>1139</v>
      </c>
      <c r="AB76" s="185">
        <v>7637</v>
      </c>
      <c r="AC76" s="185">
        <v>2640</v>
      </c>
      <c r="AD76" s="185"/>
      <c r="AE76" s="185">
        <v>17513</v>
      </c>
      <c r="AF76" s="185"/>
      <c r="AG76" s="185">
        <v>55057</v>
      </c>
      <c r="AH76" s="185"/>
      <c r="AI76" s="185"/>
      <c r="AJ76" s="185">
        <v>144209</v>
      </c>
      <c r="AK76" s="185"/>
      <c r="AL76" s="185"/>
      <c r="AM76" s="185"/>
      <c r="AN76" s="185"/>
      <c r="AO76" s="185"/>
      <c r="AP76" s="185">
        <v>173508</v>
      </c>
      <c r="AQ76" s="185"/>
      <c r="AR76" s="185">
        <v>19432</v>
      </c>
      <c r="AS76" s="185"/>
      <c r="AT76" s="185"/>
      <c r="AU76" s="185"/>
      <c r="AV76" s="185">
        <v>13015</v>
      </c>
      <c r="AW76" s="185">
        <v>3712</v>
      </c>
      <c r="AX76" s="185"/>
      <c r="AY76" s="185"/>
      <c r="AZ76" s="185">
        <v>23008</v>
      </c>
      <c r="BA76" s="185">
        <v>3589</v>
      </c>
      <c r="BB76" s="185"/>
      <c r="BC76" s="185"/>
      <c r="BD76" s="185">
        <v>9663</v>
      </c>
      <c r="BE76" s="185">
        <v>782432</v>
      </c>
      <c r="BF76" s="185">
        <v>9475</v>
      </c>
      <c r="BG76" s="185">
        <v>4982</v>
      </c>
      <c r="BH76" s="185">
        <v>19175</v>
      </c>
      <c r="BI76" s="185">
        <v>71116</v>
      </c>
      <c r="BJ76" s="185">
        <v>4264</v>
      </c>
      <c r="BK76" s="185">
        <v>16303</v>
      </c>
      <c r="BL76" s="185">
        <v>5010</v>
      </c>
      <c r="BM76" s="185">
        <v>4747</v>
      </c>
      <c r="BN76" s="185">
        <v>14047</v>
      </c>
      <c r="BO76" s="185">
        <v>2093</v>
      </c>
      <c r="BP76" s="185">
        <v>1894</v>
      </c>
      <c r="BQ76" s="185">
        <v>1677</v>
      </c>
      <c r="BR76" s="185">
        <v>3492</v>
      </c>
      <c r="BS76" s="185">
        <v>3763</v>
      </c>
      <c r="BT76" s="185">
        <v>947</v>
      </c>
      <c r="BU76" s="185">
        <v>418</v>
      </c>
      <c r="BV76" s="185">
        <v>7657</v>
      </c>
      <c r="BW76" s="185">
        <v>3468</v>
      </c>
      <c r="BX76" s="185">
        <v>3549</v>
      </c>
      <c r="BY76" s="185">
        <v>3146</v>
      </c>
      <c r="BZ76" s="185"/>
      <c r="CA76" s="185">
        <v>3305</v>
      </c>
      <c r="CB76" s="185">
        <v>7240</v>
      </c>
      <c r="CC76" s="185">
        <v>7089</v>
      </c>
      <c r="CD76" s="249" t="s">
        <v>221</v>
      </c>
      <c r="CE76" s="195">
        <f t="shared" si="8"/>
        <v>1906989</v>
      </c>
      <c r="CF76" s="195">
        <f>BE59-CE76</f>
        <v>-1124557</v>
      </c>
      <c r="CH76" s="288"/>
      <c r="CI76" s="288"/>
    </row>
    <row r="77" spans="1:87" ht="12.65" customHeight="1" x14ac:dyDescent="0.35">
      <c r="A77" s="171" t="s">
        <v>249</v>
      </c>
      <c r="B77" s="175"/>
      <c r="C77" s="184">
        <v>10112</v>
      </c>
      <c r="D77" s="184">
        <v>27151</v>
      </c>
      <c r="E77" s="184">
        <v>110415</v>
      </c>
      <c r="F77" s="184"/>
      <c r="G77" s="184">
        <v>10762</v>
      </c>
      <c r="H77" s="184"/>
      <c r="I77" s="184"/>
      <c r="J77" s="184"/>
      <c r="K77" s="184"/>
      <c r="L77" s="184"/>
      <c r="M77" s="184">
        <v>6920</v>
      </c>
      <c r="N77" s="184"/>
      <c r="O77" s="184">
        <v>35344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64</v>
      </c>
      <c r="Z77" s="184"/>
      <c r="AA77" s="184"/>
      <c r="AB77" s="184"/>
      <c r="AC77" s="184"/>
      <c r="AD77" s="184"/>
      <c r="AE77" s="184"/>
      <c r="AF77" s="184"/>
      <c r="AG77" s="184">
        <v>3459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204227</v>
      </c>
      <c r="CF77" s="195">
        <f>AY59-CE77</f>
        <v>-204227</v>
      </c>
      <c r="CH77" s="288"/>
      <c r="CI77" s="288"/>
    </row>
    <row r="78" spans="1:87" ht="12.65" customHeight="1" x14ac:dyDescent="0.35">
      <c r="A78" s="171" t="s">
        <v>250</v>
      </c>
      <c r="B78" s="175"/>
      <c r="C78" s="184">
        <v>3496</v>
      </c>
      <c r="D78" s="184">
        <v>2672</v>
      </c>
      <c r="E78" s="184">
        <v>12290</v>
      </c>
      <c r="F78" s="184">
        <v>17</v>
      </c>
      <c r="G78" s="184">
        <v>964</v>
      </c>
      <c r="H78" s="184"/>
      <c r="I78" s="184"/>
      <c r="J78" s="184"/>
      <c r="K78" s="184"/>
      <c r="L78" s="184"/>
      <c r="M78" s="184">
        <v>2243</v>
      </c>
      <c r="N78" s="184">
        <v>559</v>
      </c>
      <c r="O78" s="184">
        <v>5946</v>
      </c>
      <c r="P78" s="184">
        <v>8163</v>
      </c>
      <c r="Q78" s="184">
        <v>559</v>
      </c>
      <c r="R78" s="184">
        <v>71</v>
      </c>
      <c r="S78" s="184">
        <v>1123</v>
      </c>
      <c r="T78" s="184"/>
      <c r="U78" s="184">
        <v>2585</v>
      </c>
      <c r="V78" s="184">
        <v>34</v>
      </c>
      <c r="W78" s="184">
        <v>684</v>
      </c>
      <c r="X78" s="184">
        <v>346</v>
      </c>
      <c r="Y78" s="184">
        <v>5804</v>
      </c>
      <c r="Z78" s="184">
        <v>1803</v>
      </c>
      <c r="AA78" s="184">
        <v>124</v>
      </c>
      <c r="AB78" s="184">
        <v>835</v>
      </c>
      <c r="AC78" s="184">
        <v>289</v>
      </c>
      <c r="AD78" s="184"/>
      <c r="AE78" s="184">
        <v>1914</v>
      </c>
      <c r="AF78" s="184"/>
      <c r="AG78" s="184">
        <v>6018</v>
      </c>
      <c r="AH78" s="184"/>
      <c r="AI78" s="184"/>
      <c r="AJ78" s="184">
        <v>15762</v>
      </c>
      <c r="AK78" s="184"/>
      <c r="AL78" s="184"/>
      <c r="AM78" s="184"/>
      <c r="AN78" s="184"/>
      <c r="AO78" s="184"/>
      <c r="AP78" s="184">
        <v>18965</v>
      </c>
      <c r="AQ78" s="184"/>
      <c r="AR78" s="184">
        <v>2124</v>
      </c>
      <c r="AS78" s="184"/>
      <c r="AT78" s="184"/>
      <c r="AU78" s="184"/>
      <c r="AV78" s="184">
        <v>1423</v>
      </c>
      <c r="AW78" s="184">
        <v>406</v>
      </c>
      <c r="AX78" s="249" t="s">
        <v>221</v>
      </c>
      <c r="AY78" s="249" t="s">
        <v>221</v>
      </c>
      <c r="AZ78" s="249" t="s">
        <v>221</v>
      </c>
      <c r="BA78" s="184">
        <v>392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2096</v>
      </c>
      <c r="BI78" s="184">
        <v>7773</v>
      </c>
      <c r="BJ78" s="249" t="s">
        <v>221</v>
      </c>
      <c r="BK78" s="184">
        <v>1782</v>
      </c>
      <c r="BL78" s="184">
        <v>548</v>
      </c>
      <c r="BM78" s="184">
        <v>519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411</v>
      </c>
      <c r="BT78" s="184">
        <v>104</v>
      </c>
      <c r="BU78" s="184">
        <v>46</v>
      </c>
      <c r="BV78" s="184">
        <v>837</v>
      </c>
      <c r="BW78" s="184">
        <v>379</v>
      </c>
      <c r="BX78" s="184">
        <v>388</v>
      </c>
      <c r="BY78" s="184">
        <v>344</v>
      </c>
      <c r="BZ78" s="184"/>
      <c r="CA78" s="184">
        <v>361</v>
      </c>
      <c r="CB78" s="184">
        <v>790</v>
      </c>
      <c r="CC78" s="249" t="s">
        <v>221</v>
      </c>
      <c r="CD78" s="249" t="s">
        <v>221</v>
      </c>
      <c r="CE78" s="195">
        <f t="shared" si="8"/>
        <v>113989</v>
      </c>
      <c r="CF78" s="195"/>
      <c r="CH78" s="288"/>
      <c r="CI78" s="288"/>
    </row>
    <row r="79" spans="1:87" ht="12.65" customHeight="1" x14ac:dyDescent="0.35">
      <c r="A79" s="171" t="s">
        <v>251</v>
      </c>
      <c r="B79" s="175"/>
      <c r="C79" s="225">
        <v>186429.98</v>
      </c>
      <c r="D79" s="225">
        <v>205485.89</v>
      </c>
      <c r="E79" s="184">
        <v>568277.05000000005</v>
      </c>
      <c r="F79" s="184">
        <v>0</v>
      </c>
      <c r="G79" s="184">
        <v>36836.65</v>
      </c>
      <c r="H79" s="184"/>
      <c r="I79" s="184"/>
      <c r="J79" s="184"/>
      <c r="K79" s="184"/>
      <c r="L79" s="184"/>
      <c r="M79" s="184">
        <v>30144.57</v>
      </c>
      <c r="N79" s="184"/>
      <c r="O79" s="184">
        <v>349171.58</v>
      </c>
      <c r="P79" s="184">
        <v>172080.49</v>
      </c>
      <c r="Q79" s="184">
        <v>0</v>
      </c>
      <c r="R79" s="184">
        <v>0</v>
      </c>
      <c r="S79" s="184">
        <v>16943.13</v>
      </c>
      <c r="T79" s="184">
        <v>0</v>
      </c>
      <c r="U79" s="184">
        <v>2338.9699999999998</v>
      </c>
      <c r="V79" s="184"/>
      <c r="W79" s="184">
        <v>21090.04</v>
      </c>
      <c r="X79" s="184">
        <v>0</v>
      </c>
      <c r="Y79" s="184">
        <v>276188.15999999997</v>
      </c>
      <c r="Z79" s="184">
        <v>42722.64</v>
      </c>
      <c r="AA79" s="184"/>
      <c r="AB79" s="184"/>
      <c r="AC79" s="184"/>
      <c r="AD79" s="184"/>
      <c r="AE79" s="184"/>
      <c r="AF79" s="184"/>
      <c r="AG79" s="184">
        <v>327060.01</v>
      </c>
      <c r="AH79" s="184"/>
      <c r="AI79" s="184"/>
      <c r="AJ79" s="184">
        <v>82158.22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41177.79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2358105.17</v>
      </c>
      <c r="CF79" s="195">
        <f>BA59</f>
        <v>0</v>
      </c>
      <c r="CH79" s="288"/>
      <c r="CI79" s="288"/>
    </row>
    <row r="80" spans="1:87" ht="21" customHeight="1" x14ac:dyDescent="0.35">
      <c r="A80" s="171" t="s">
        <v>252</v>
      </c>
      <c r="B80" s="175"/>
      <c r="C80" s="187">
        <v>102.06993269230769</v>
      </c>
      <c r="D80" s="187">
        <v>45.21695192307692</v>
      </c>
      <c r="E80" s="187">
        <v>162.25846634615385</v>
      </c>
      <c r="F80" s="187">
        <v>0</v>
      </c>
      <c r="G80" s="187">
        <v>11.229894230769231</v>
      </c>
      <c r="H80" s="187"/>
      <c r="I80" s="187"/>
      <c r="J80" s="187"/>
      <c r="K80" s="187"/>
      <c r="L80" s="187"/>
      <c r="M80" s="187">
        <v>18.670000000000002</v>
      </c>
      <c r="N80" s="187"/>
      <c r="O80" s="187">
        <v>132.70231730769231</v>
      </c>
      <c r="P80" s="187">
        <v>48.214509615384614</v>
      </c>
      <c r="Q80" s="187">
        <v>47.92758653846154</v>
      </c>
      <c r="R80" s="187">
        <v>2.1754807692307691E-2</v>
      </c>
      <c r="S80" s="187">
        <v>0</v>
      </c>
      <c r="T80" s="187">
        <v>0</v>
      </c>
      <c r="U80" s="187">
        <v>1.9471153846153846E-2</v>
      </c>
      <c r="V80" s="187"/>
      <c r="W80" s="187"/>
      <c r="X80" s="187"/>
      <c r="Y80" s="187">
        <v>22.932211538461537</v>
      </c>
      <c r="Z80" s="187">
        <v>3.962394230769231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/>
      <c r="AG80" s="187">
        <v>66.8848798076923</v>
      </c>
      <c r="AH80" s="187"/>
      <c r="AI80" s="187"/>
      <c r="AJ80" s="187">
        <v>56.906889423076926</v>
      </c>
      <c r="AK80" s="187"/>
      <c r="AL80" s="187"/>
      <c r="AM80" s="187"/>
      <c r="AN80" s="187"/>
      <c r="AO80" s="187"/>
      <c r="AP80" s="187">
        <v>12.982875</v>
      </c>
      <c r="AQ80" s="187"/>
      <c r="AR80" s="187">
        <v>167.92</v>
      </c>
      <c r="AS80" s="187"/>
      <c r="AT80" s="187"/>
      <c r="AU80" s="187"/>
      <c r="AV80" s="187">
        <f>8.27725480769231+0.31+0.01+0.21+0.46+0.86+1.79+1.01+15.72+4.9+10.56+0.26+14.71+2.47</f>
        <v>61.547254807692312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961.46738942307684</v>
      </c>
      <c r="CF80" s="255"/>
      <c r="CH80" s="288"/>
      <c r="CI80" s="28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1267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 t="s">
        <v>1274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15200</v>
      </c>
      <c r="D111" s="174">
        <v>72588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4755</v>
      </c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31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141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42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294</v>
      </c>
    </row>
    <row r="128" spans="1:5" ht="12.65" customHeight="1" x14ac:dyDescent="0.35">
      <c r="A128" s="173" t="s">
        <v>292</v>
      </c>
      <c r="B128" s="172" t="s">
        <v>256</v>
      </c>
      <c r="C128" s="189">
        <v>318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5964</v>
      </c>
      <c r="C138" s="189">
        <v>2454</v>
      </c>
      <c r="D138" s="174">
        <f>15200-B138-C138</f>
        <v>6782</v>
      </c>
      <c r="E138" s="175">
        <f>SUM(B138:D138)</f>
        <v>15200</v>
      </c>
    </row>
    <row r="139" spans="1:6" ht="12.65" customHeight="1" x14ac:dyDescent="0.35">
      <c r="A139" s="173" t="s">
        <v>215</v>
      </c>
      <c r="B139" s="174">
        <v>34998</v>
      </c>
      <c r="C139" s="189">
        <v>9473</v>
      </c>
      <c r="D139" s="174">
        <f>D111-B139-C139</f>
        <v>28117</v>
      </c>
      <c r="E139" s="175">
        <f>SUM(B139:D139)</f>
        <v>72588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395420204</v>
      </c>
      <c r="C141" s="189">
        <v>88330621</v>
      </c>
      <c r="D141" s="174">
        <v>353120993</v>
      </c>
      <c r="E141" s="175">
        <f>SUM(B141:D141)</f>
        <v>836871818</v>
      </c>
      <c r="F141" s="199"/>
    </row>
    <row r="142" spans="1:6" ht="12.65" customHeight="1" x14ac:dyDescent="0.35">
      <c r="A142" s="173" t="s">
        <v>246</v>
      </c>
      <c r="B142" s="174">
        <v>439251836</v>
      </c>
      <c r="C142" s="189">
        <v>95300282</v>
      </c>
      <c r="D142" s="174">
        <v>646504193</v>
      </c>
      <c r="E142" s="175">
        <f>SUM(B142:D142)</f>
        <v>1181056311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6297559</v>
      </c>
      <c r="C157" s="174">
        <v>14444322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24957449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310572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2147663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39726109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278047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20192473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1246070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88858383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12977916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3060386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16038302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2850699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1093931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3944630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309553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6393505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6703058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7548798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7548798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4913659.68</v>
      </c>
      <c r="C195" s="189"/>
      <c r="D195" s="174"/>
      <c r="E195" s="175">
        <f t="shared" ref="E195:E203" si="10">SUM(B195:C195)-D195</f>
        <v>4913659.68</v>
      </c>
    </row>
    <row r="196" spans="1:8" ht="12.65" customHeight="1" x14ac:dyDescent="0.35">
      <c r="A196" s="173" t="s">
        <v>333</v>
      </c>
      <c r="B196" s="174">
        <v>14328874.529999999</v>
      </c>
      <c r="C196" s="189"/>
      <c r="D196" s="174">
        <v>610578.75</v>
      </c>
      <c r="E196" s="175">
        <f t="shared" si="10"/>
        <v>13718295.779999999</v>
      </c>
    </row>
    <row r="197" spans="1:8" ht="12.65" customHeight="1" x14ac:dyDescent="0.35">
      <c r="A197" s="173" t="s">
        <v>334</v>
      </c>
      <c r="B197" s="174">
        <v>336727253.38999999</v>
      </c>
      <c r="C197" s="189">
        <v>2573404.4400000004</v>
      </c>
      <c r="D197" s="174">
        <v>3162476.0300000003</v>
      </c>
      <c r="E197" s="175">
        <f t="shared" si="10"/>
        <v>336138181.80000001</v>
      </c>
    </row>
    <row r="198" spans="1:8" ht="12.65" customHeight="1" x14ac:dyDescent="0.35">
      <c r="A198" s="173" t="s">
        <v>335</v>
      </c>
      <c r="B198" s="174">
        <v>130601437.85000002</v>
      </c>
      <c r="C198" s="189">
        <v>855451.60000000009</v>
      </c>
      <c r="D198" s="174">
        <v>3960031.8699999996</v>
      </c>
      <c r="E198" s="175">
        <f t="shared" si="10"/>
        <v>127496857.58000001</v>
      </c>
    </row>
    <row r="199" spans="1:8" ht="12.65" customHeight="1" x14ac:dyDescent="0.35">
      <c r="A199" s="173" t="s">
        <v>336</v>
      </c>
      <c r="B199" s="174">
        <v>115064.18999999994</v>
      </c>
      <c r="C199" s="189"/>
      <c r="D199" s="174">
        <v>64454.770000000004</v>
      </c>
      <c r="E199" s="175">
        <f t="shared" si="10"/>
        <v>50609.41999999994</v>
      </c>
    </row>
    <row r="200" spans="1:8" ht="12.65" customHeight="1" x14ac:dyDescent="0.35">
      <c r="A200" s="173" t="s">
        <v>337</v>
      </c>
      <c r="B200" s="174">
        <v>286142021.54000002</v>
      </c>
      <c r="C200" s="189">
        <v>20132336.110000003</v>
      </c>
      <c r="D200" s="174">
        <v>8795873.9699999988</v>
      </c>
      <c r="E200" s="175">
        <f t="shared" si="10"/>
        <v>297478483.68000007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35848688.970000006</v>
      </c>
      <c r="C202" s="189">
        <v>2671746.4900000002</v>
      </c>
      <c r="D202" s="174">
        <v>57719.31</v>
      </c>
      <c r="E202" s="175">
        <f t="shared" si="10"/>
        <v>38462716.150000006</v>
      </c>
    </row>
    <row r="203" spans="1:8" ht="12.65" customHeight="1" x14ac:dyDescent="0.35">
      <c r="A203" s="173" t="s">
        <v>340</v>
      </c>
      <c r="B203" s="174">
        <v>14280146.939999998</v>
      </c>
      <c r="C203" s="189">
        <v>37090971.5</v>
      </c>
      <c r="D203" s="174">
        <v>25680031.899999999</v>
      </c>
      <c r="E203" s="175">
        <f t="shared" si="10"/>
        <v>25691086.539999999</v>
      </c>
    </row>
    <row r="204" spans="1:8" ht="12.65" customHeight="1" x14ac:dyDescent="0.35">
      <c r="A204" s="173" t="s">
        <v>203</v>
      </c>
      <c r="B204" s="175">
        <f>SUM(B195:B203)</f>
        <v>822957147.09000015</v>
      </c>
      <c r="C204" s="191">
        <f>SUM(C195:C203)</f>
        <v>63323910.140000001</v>
      </c>
      <c r="D204" s="175">
        <f>SUM(D195:D203)</f>
        <v>42331166.599999994</v>
      </c>
      <c r="E204" s="175">
        <f>SUM(E195:E203)</f>
        <v>843949890.63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11773384.379999999</v>
      </c>
      <c r="C209" s="189">
        <v>380224.57</v>
      </c>
      <c r="D209" s="174">
        <v>610578.75</v>
      </c>
      <c r="E209" s="175">
        <f t="shared" ref="E209:E216" si="11">SUM(B209:C209)-D209</f>
        <v>11543030.199999999</v>
      </c>
      <c r="H209" s="259"/>
    </row>
    <row r="210" spans="1:8" ht="12.65" customHeight="1" x14ac:dyDescent="0.35">
      <c r="A210" s="173" t="s">
        <v>334</v>
      </c>
      <c r="B210" s="174">
        <v>162935108.35000002</v>
      </c>
      <c r="C210" s="189">
        <v>11349463.640000001</v>
      </c>
      <c r="D210" s="174">
        <v>3162476.03</v>
      </c>
      <c r="E210" s="175">
        <f t="shared" si="11"/>
        <v>171122095.96000001</v>
      </c>
      <c r="H210" s="259"/>
    </row>
    <row r="211" spans="1:8" ht="12.65" customHeight="1" x14ac:dyDescent="0.35">
      <c r="A211" s="173" t="s">
        <v>335</v>
      </c>
      <c r="B211" s="174">
        <v>91581183.469999999</v>
      </c>
      <c r="C211" s="189">
        <v>4367544.92</v>
      </c>
      <c r="D211" s="174">
        <v>3960031.87</v>
      </c>
      <c r="E211" s="175">
        <f t="shared" si="11"/>
        <v>91988696.519999996</v>
      </c>
      <c r="H211" s="259"/>
    </row>
    <row r="212" spans="1:8" ht="12.65" customHeight="1" x14ac:dyDescent="0.35">
      <c r="A212" s="173" t="s">
        <v>336</v>
      </c>
      <c r="B212" s="174">
        <v>109954.44000000006</v>
      </c>
      <c r="C212" s="189">
        <v>2307.08</v>
      </c>
      <c r="D212" s="174">
        <v>64454.77</v>
      </c>
      <c r="E212" s="175">
        <f t="shared" si="11"/>
        <v>47806.750000000065</v>
      </c>
      <c r="H212" s="259"/>
    </row>
    <row r="213" spans="1:8" ht="12.65" customHeight="1" x14ac:dyDescent="0.35">
      <c r="A213" s="173" t="s">
        <v>337</v>
      </c>
      <c r="B213" s="174">
        <v>218133524.00999999</v>
      </c>
      <c r="C213" s="189">
        <v>17558457.129999999</v>
      </c>
      <c r="D213" s="174">
        <v>8759793.9800000004</v>
      </c>
      <c r="E213" s="175">
        <f t="shared" si="11"/>
        <v>226932187.16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19383055.040000003</v>
      </c>
      <c r="C215" s="189">
        <v>2161928.77</v>
      </c>
      <c r="D215" s="174">
        <v>57719.31</v>
      </c>
      <c r="E215" s="175">
        <f t="shared" si="11"/>
        <v>21487264.500000004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503916209.69</v>
      </c>
      <c r="C217" s="191">
        <f>SUM(C208:C216)</f>
        <v>35819926.110000007</v>
      </c>
      <c r="D217" s="175">
        <f>SUM(D208:D216)</f>
        <v>16615054.710000001</v>
      </c>
      <c r="E217" s="175">
        <f>SUM(E208:E216)</f>
        <v>523121081.09000003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1" t="s">
        <v>1255</v>
      </c>
      <c r="C220" s="291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28868562</v>
      </c>
      <c r="D221" s="172">
        <f>C221</f>
        <v>28868562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623380137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128203457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11267736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6685165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507773367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1127151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1278437013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286">
        <v>3664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3255441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4594323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7849764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4424509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4424509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1319579848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57371794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296057494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200810371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1893459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10073159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1362459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9363518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7916436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183227948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153403236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153403236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4913660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13718296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336138182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127496857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50609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297478484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38462716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25691087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843949891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523121081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320828810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10817285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8456874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19274159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25176110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25176110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701910263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28509693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53362707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679662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4678160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1373513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14218678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102822413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1544932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175504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1720436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5929126.4900000002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181643865.74000001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8499169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196072161.23000002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14218678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181853483.23000002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f>417344931-1831000</f>
        <v>415513931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701910263.23000002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701910263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836871818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1181056312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2017928130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28868562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1278437013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7849763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4424511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1319579849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698348281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42767749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26804430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69572179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767920460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399309860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88858384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17527437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102262774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6359049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56336509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35399142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16038302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3944630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6703058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7548798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9106041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749393984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18526476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6742323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25268799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25268799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EvergreenHealth Kirkland / King Country Public Hos #2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15200</v>
      </c>
      <c r="C414" s="194">
        <f>E138</f>
        <v>15200</v>
      </c>
      <c r="D414" s="179"/>
    </row>
    <row r="415" spans="1:5" ht="12.65" customHeight="1" x14ac:dyDescent="0.35">
      <c r="A415" s="179" t="s">
        <v>464</v>
      </c>
      <c r="B415" s="179">
        <f>D111</f>
        <v>72588</v>
      </c>
      <c r="C415" s="179">
        <f>E139</f>
        <v>72588</v>
      </c>
      <c r="D415" s="194">
        <f>SUM(C59:H59)+N59</f>
        <v>54528.710000000006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4755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399309860</v>
      </c>
      <c r="C427" s="179">
        <f t="shared" ref="C427:C434" si="13">CE61</f>
        <v>399309860.46999997</v>
      </c>
      <c r="D427" s="179"/>
    </row>
    <row r="428" spans="1:7" ht="12.65" customHeight="1" x14ac:dyDescent="0.35">
      <c r="A428" s="179" t="s">
        <v>3</v>
      </c>
      <c r="B428" s="179">
        <f t="shared" si="12"/>
        <v>88858384</v>
      </c>
      <c r="C428" s="179">
        <f t="shared" si="13"/>
        <v>88858385</v>
      </c>
      <c r="D428" s="179">
        <f>D173</f>
        <v>88858383</v>
      </c>
    </row>
    <row r="429" spans="1:7" ht="12.65" customHeight="1" x14ac:dyDescent="0.35">
      <c r="A429" s="179" t="s">
        <v>236</v>
      </c>
      <c r="B429" s="179">
        <f t="shared" si="12"/>
        <v>17527437</v>
      </c>
      <c r="C429" s="179">
        <f t="shared" si="13"/>
        <v>17527436.934</v>
      </c>
      <c r="D429" s="179"/>
    </row>
    <row r="430" spans="1:7" ht="12.65" customHeight="1" x14ac:dyDescent="0.35">
      <c r="A430" s="179" t="s">
        <v>237</v>
      </c>
      <c r="B430" s="179">
        <f t="shared" si="12"/>
        <v>102262774</v>
      </c>
      <c r="C430" s="179">
        <f t="shared" si="13"/>
        <v>102262774.21000001</v>
      </c>
      <c r="D430" s="179"/>
    </row>
    <row r="431" spans="1:7" ht="12.65" customHeight="1" x14ac:dyDescent="0.35">
      <c r="A431" s="179" t="s">
        <v>444</v>
      </c>
      <c r="B431" s="179">
        <f t="shared" si="12"/>
        <v>6359049</v>
      </c>
      <c r="C431" s="179">
        <f t="shared" si="13"/>
        <v>6359048.6899999985</v>
      </c>
      <c r="D431" s="179"/>
    </row>
    <row r="432" spans="1:7" ht="12.65" customHeight="1" x14ac:dyDescent="0.35">
      <c r="A432" s="179" t="s">
        <v>445</v>
      </c>
      <c r="B432" s="179">
        <f t="shared" si="12"/>
        <v>56336509</v>
      </c>
      <c r="C432" s="179">
        <f t="shared" si="13"/>
        <v>56336509.000000015</v>
      </c>
      <c r="D432" s="179"/>
    </row>
    <row r="433" spans="1:7" ht="12.65" customHeight="1" x14ac:dyDescent="0.35">
      <c r="A433" s="179" t="s">
        <v>6</v>
      </c>
      <c r="B433" s="179">
        <f t="shared" si="12"/>
        <v>35399142</v>
      </c>
      <c r="C433" s="179">
        <f t="shared" si="13"/>
        <v>35399143</v>
      </c>
      <c r="D433" s="179">
        <f>C217</f>
        <v>35819926.110000007</v>
      </c>
    </row>
    <row r="434" spans="1:7" ht="12.65" customHeight="1" x14ac:dyDescent="0.35">
      <c r="A434" s="179" t="s">
        <v>474</v>
      </c>
      <c r="B434" s="179">
        <f t="shared" si="12"/>
        <v>16038302</v>
      </c>
      <c r="C434" s="179">
        <f t="shared" si="13"/>
        <v>16038302</v>
      </c>
      <c r="D434" s="179">
        <f>D177</f>
        <v>16038302</v>
      </c>
    </row>
    <row r="435" spans="1:7" ht="12.65" customHeight="1" x14ac:dyDescent="0.35">
      <c r="A435" s="179" t="s">
        <v>447</v>
      </c>
      <c r="B435" s="179">
        <f t="shared" si="12"/>
        <v>3944630</v>
      </c>
      <c r="C435" s="179"/>
      <c r="D435" s="179">
        <f>D181</f>
        <v>3944630</v>
      </c>
    </row>
    <row r="436" spans="1:7" ht="12.65" customHeight="1" x14ac:dyDescent="0.35">
      <c r="A436" s="179" t="s">
        <v>475</v>
      </c>
      <c r="B436" s="179">
        <f t="shared" si="12"/>
        <v>6703058</v>
      </c>
      <c r="C436" s="179"/>
      <c r="D436" s="179">
        <f>D186</f>
        <v>6703058</v>
      </c>
    </row>
    <row r="437" spans="1:7" ht="12.65" customHeight="1" x14ac:dyDescent="0.35">
      <c r="A437" s="194" t="s">
        <v>449</v>
      </c>
      <c r="B437" s="194">
        <f t="shared" si="12"/>
        <v>7548798</v>
      </c>
      <c r="C437" s="194"/>
      <c r="D437" s="194">
        <f>D190</f>
        <v>7548798</v>
      </c>
    </row>
    <row r="438" spans="1:7" ht="12.65" customHeight="1" x14ac:dyDescent="0.35">
      <c r="A438" s="194" t="s">
        <v>476</v>
      </c>
      <c r="B438" s="194">
        <f>C386+C387+C388</f>
        <v>18196486</v>
      </c>
      <c r="C438" s="194">
        <f>CD69</f>
        <v>10325592.329999998</v>
      </c>
      <c r="D438" s="194">
        <f>D181+D186+D190</f>
        <v>18196486</v>
      </c>
    </row>
    <row r="439" spans="1:7" ht="12.65" customHeight="1" x14ac:dyDescent="0.35">
      <c r="A439" s="179" t="s">
        <v>451</v>
      </c>
      <c r="B439" s="194">
        <f>C389</f>
        <v>9106041</v>
      </c>
      <c r="C439" s="194">
        <f>SUM(C69:CC69)</f>
        <v>9428136.8899999987</v>
      </c>
      <c r="D439" s="179"/>
    </row>
    <row r="440" spans="1:7" ht="12.65" customHeight="1" x14ac:dyDescent="0.35">
      <c r="A440" s="179" t="s">
        <v>477</v>
      </c>
      <c r="B440" s="194">
        <f>B438+B439</f>
        <v>27302527</v>
      </c>
      <c r="C440" s="194">
        <f>CE69</f>
        <v>19753729.219999999</v>
      </c>
      <c r="D440" s="179"/>
    </row>
    <row r="441" spans="1:7" ht="12.65" customHeight="1" x14ac:dyDescent="0.35">
      <c r="A441" s="179" t="s">
        <v>478</v>
      </c>
      <c r="B441" s="179">
        <f>D390</f>
        <v>749393984</v>
      </c>
      <c r="C441" s="179">
        <f>SUM(C427:C437)+C440</f>
        <v>741845188.52400005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28868562</v>
      </c>
      <c r="C444" s="179">
        <f>C363</f>
        <v>28868562</v>
      </c>
      <c r="D444" s="179"/>
    </row>
    <row r="445" spans="1:7" ht="12.65" customHeight="1" x14ac:dyDescent="0.35">
      <c r="A445" s="179" t="s">
        <v>343</v>
      </c>
      <c r="B445" s="179">
        <f>D229</f>
        <v>1278437013</v>
      </c>
      <c r="C445" s="179">
        <f>C364</f>
        <v>1278437013</v>
      </c>
      <c r="D445" s="179"/>
    </row>
    <row r="446" spans="1:7" ht="12.65" customHeight="1" x14ac:dyDescent="0.35">
      <c r="A446" s="179" t="s">
        <v>351</v>
      </c>
      <c r="B446" s="179">
        <f>D236</f>
        <v>7849764</v>
      </c>
      <c r="C446" s="179">
        <f>C365</f>
        <v>7849763</v>
      </c>
      <c r="D446" s="179"/>
    </row>
    <row r="447" spans="1:7" ht="12.65" customHeight="1" x14ac:dyDescent="0.35">
      <c r="A447" s="179" t="s">
        <v>356</v>
      </c>
      <c r="B447" s="179">
        <f>D240</f>
        <v>4424509</v>
      </c>
      <c r="C447" s="179">
        <f>C366</f>
        <v>4424511</v>
      </c>
      <c r="D447" s="179"/>
    </row>
    <row r="448" spans="1:7" ht="12.65" customHeight="1" x14ac:dyDescent="0.35">
      <c r="A448" s="179" t="s">
        <v>358</v>
      </c>
      <c r="B448" s="179">
        <f>D242</f>
        <v>1319579848</v>
      </c>
      <c r="C448" s="179">
        <f>D367</f>
        <v>1319579849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3664</v>
      </c>
    </row>
    <row r="454" spans="1:7" ht="12.65" customHeight="1" x14ac:dyDescent="0.35">
      <c r="A454" s="179" t="s">
        <v>168</v>
      </c>
      <c r="B454" s="179">
        <f>C233</f>
        <v>3255441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4594323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42767749</v>
      </c>
      <c r="C458" s="194">
        <f>CE70</f>
        <v>42767749.220000006</v>
      </c>
      <c r="D458" s="194"/>
    </row>
    <row r="459" spans="1:7" ht="12.65" customHeight="1" x14ac:dyDescent="0.35">
      <c r="A459" s="179" t="s">
        <v>244</v>
      </c>
      <c r="B459" s="194">
        <f>C371</f>
        <v>26804430</v>
      </c>
      <c r="C459" s="194">
        <f>CE72</f>
        <v>26804430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836871818</v>
      </c>
      <c r="C463" s="194">
        <f>CE73</f>
        <v>836871817.73000002</v>
      </c>
      <c r="D463" s="194">
        <f>E141+E147+E153</f>
        <v>836871818</v>
      </c>
    </row>
    <row r="464" spans="1:7" ht="12.65" customHeight="1" x14ac:dyDescent="0.35">
      <c r="A464" s="179" t="s">
        <v>246</v>
      </c>
      <c r="B464" s="194">
        <f>C360</f>
        <v>1181056312</v>
      </c>
      <c r="C464" s="194">
        <f>CE74</f>
        <v>1181056311.73</v>
      </c>
      <c r="D464" s="194">
        <f>E142+E148+E154</f>
        <v>1181056311</v>
      </c>
    </row>
    <row r="465" spans="1:7" ht="12.65" customHeight="1" x14ac:dyDescent="0.35">
      <c r="A465" s="179" t="s">
        <v>247</v>
      </c>
      <c r="B465" s="194">
        <f>D361</f>
        <v>2017928130</v>
      </c>
      <c r="C465" s="194">
        <f>CE75</f>
        <v>1749986859.45</v>
      </c>
      <c r="D465" s="194">
        <f>D463+D464</f>
        <v>2017928129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4913660</v>
      </c>
      <c r="C468" s="179">
        <f>E195</f>
        <v>4913659.68</v>
      </c>
      <c r="D468" s="179"/>
    </row>
    <row r="469" spans="1:7" ht="12.65" customHeight="1" x14ac:dyDescent="0.35">
      <c r="A469" s="179" t="s">
        <v>333</v>
      </c>
      <c r="B469" s="179">
        <f t="shared" si="14"/>
        <v>13718296</v>
      </c>
      <c r="C469" s="179">
        <f>E196</f>
        <v>13718295.779999999</v>
      </c>
      <c r="D469" s="179"/>
    </row>
    <row r="470" spans="1:7" ht="12.65" customHeight="1" x14ac:dyDescent="0.35">
      <c r="A470" s="179" t="s">
        <v>334</v>
      </c>
      <c r="B470" s="179">
        <f t="shared" si="14"/>
        <v>336138182</v>
      </c>
      <c r="C470" s="179">
        <f>E197</f>
        <v>336138181.80000001</v>
      </c>
      <c r="D470" s="179"/>
    </row>
    <row r="471" spans="1:7" ht="12.65" customHeight="1" x14ac:dyDescent="0.35">
      <c r="A471" s="179" t="s">
        <v>494</v>
      </c>
      <c r="B471" s="179">
        <f t="shared" si="14"/>
        <v>127496857</v>
      </c>
      <c r="C471" s="179">
        <f>E198</f>
        <v>127496857.58000001</v>
      </c>
      <c r="D471" s="179"/>
    </row>
    <row r="472" spans="1:7" ht="12.65" customHeight="1" x14ac:dyDescent="0.35">
      <c r="A472" s="179" t="s">
        <v>377</v>
      </c>
      <c r="B472" s="179">
        <f t="shared" si="14"/>
        <v>50609</v>
      </c>
      <c r="C472" s="179">
        <f>E199</f>
        <v>50609.41999999994</v>
      </c>
      <c r="D472" s="179"/>
    </row>
    <row r="473" spans="1:7" ht="12.65" customHeight="1" x14ac:dyDescent="0.35">
      <c r="A473" s="179" t="s">
        <v>495</v>
      </c>
      <c r="B473" s="179">
        <f t="shared" si="14"/>
        <v>297478484</v>
      </c>
      <c r="C473" s="179">
        <f>SUM(E200:E201)</f>
        <v>297478483.68000007</v>
      </c>
      <c r="D473" s="179"/>
    </row>
    <row r="474" spans="1:7" ht="12.65" customHeight="1" x14ac:dyDescent="0.35">
      <c r="A474" s="179" t="s">
        <v>339</v>
      </c>
      <c r="B474" s="179">
        <f t="shared" si="14"/>
        <v>38462716</v>
      </c>
      <c r="C474" s="179">
        <f>E202</f>
        <v>38462716.150000006</v>
      </c>
      <c r="D474" s="179"/>
    </row>
    <row r="475" spans="1:7" ht="12.65" customHeight="1" x14ac:dyDescent="0.35">
      <c r="A475" s="179" t="s">
        <v>340</v>
      </c>
      <c r="B475" s="179">
        <f t="shared" si="14"/>
        <v>25691087</v>
      </c>
      <c r="C475" s="179">
        <f>E203</f>
        <v>25691086.539999999</v>
      </c>
      <c r="D475" s="179"/>
    </row>
    <row r="476" spans="1:7" ht="12.65" customHeight="1" x14ac:dyDescent="0.35">
      <c r="A476" s="179" t="s">
        <v>203</v>
      </c>
      <c r="B476" s="179">
        <f>D275</f>
        <v>843949891</v>
      </c>
      <c r="C476" s="179">
        <f>E204</f>
        <v>843949890.63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523121081</v>
      </c>
      <c r="C478" s="179">
        <f>E217</f>
        <v>523121081.09000003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701910263</v>
      </c>
    </row>
    <row r="482" spans="1:12" ht="12.65" customHeight="1" x14ac:dyDescent="0.35">
      <c r="A482" s="180" t="s">
        <v>499</v>
      </c>
      <c r="C482" s="180">
        <f>D339</f>
        <v>701910263.23000002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164</v>
      </c>
      <c r="B493" s="261" t="str">
        <f>RIGHT('[1]Prior Year'!C82,4)</f>
        <v>2018</v>
      </c>
      <c r="C493" s="261" t="str">
        <f>RIGHT(C82,4)</f>
        <v>2019</v>
      </c>
      <c r="D493" s="261" t="str">
        <f>RIGHT('[1]Prior Year'!C82,4)</f>
        <v>2018</v>
      </c>
      <c r="E493" s="261" t="str">
        <f>RIGHT(C82,4)</f>
        <v>2019</v>
      </c>
      <c r="F493" s="261" t="str">
        <f>RIGHT('[1]Prior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'[1]Prior Year'!C71</f>
        <v>19686610.655999996</v>
      </c>
      <c r="C496" s="240">
        <f>C71</f>
        <v>22132583.199999996</v>
      </c>
      <c r="D496" s="240">
        <f>'[1]Prior Year'!C59</f>
        <v>4913</v>
      </c>
      <c r="E496" s="180">
        <f>C59</f>
        <v>4998.93</v>
      </c>
      <c r="F496" s="263">
        <f t="shared" ref="F496:G511" si="15">IF(B496=0,"",IF(D496=0,"",B496/D496))</f>
        <v>4007.0447091390179</v>
      </c>
      <c r="G496" s="264">
        <f t="shared" si="15"/>
        <v>4427.4641173211057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'[1]Prior Year'!D71</f>
        <v>10957247.251000002</v>
      </c>
      <c r="C497" s="240">
        <f>D71</f>
        <v>10968660.060000002</v>
      </c>
      <c r="D497" s="240">
        <f>'[1]Prior Year'!D59</f>
        <v>9676</v>
      </c>
      <c r="E497" s="180">
        <f>D59</f>
        <v>9259.1200000000008</v>
      </c>
      <c r="F497" s="263">
        <f t="shared" si="15"/>
        <v>1132.4149701322863</v>
      </c>
      <c r="G497" s="263">
        <f t="shared" si="15"/>
        <v>1184.6331033618746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'[1]Prior Year'!E71</f>
        <v>28745577.133000001</v>
      </c>
      <c r="C498" s="240">
        <f>E71</f>
        <v>32242441.009999998</v>
      </c>
      <c r="D498" s="240">
        <f>'[1]Prior Year'!E59</f>
        <v>33334</v>
      </c>
      <c r="E498" s="180">
        <f>E59</f>
        <v>36636.660000000003</v>
      </c>
      <c r="F498" s="263">
        <f t="shared" si="15"/>
        <v>862.35006698866027</v>
      </c>
      <c r="G498" s="263">
        <f t="shared" si="15"/>
        <v>880.05950897270645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'[1]Prior Year'!F71</f>
        <v>0</v>
      </c>
      <c r="C499" s="240">
        <f>F71</f>
        <v>48890.770000000004</v>
      </c>
      <c r="D499" s="240">
        <f>'[1]Prior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'[1]Prior Year'!G71</f>
        <v>2221140.7279999997</v>
      </c>
      <c r="C500" s="240">
        <f>G71</f>
        <v>2494465.5099999998</v>
      </c>
      <c r="D500" s="240">
        <f>'[1]Prior Year'!G59</f>
        <v>3183</v>
      </c>
      <c r="E500" s="180">
        <f>G59</f>
        <v>3634</v>
      </c>
      <c r="F500" s="263">
        <f t="shared" si="15"/>
        <v>697.81361231542564</v>
      </c>
      <c r="G500" s="263">
        <f t="shared" si="15"/>
        <v>686.42419097413313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'[1]Prior Year'!H71</f>
        <v>0</v>
      </c>
      <c r="C501" s="240">
        <f>H71</f>
        <v>0</v>
      </c>
      <c r="D501" s="240">
        <f>'[1]Prior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'[1]Prior Year'!I71</f>
        <v>0</v>
      </c>
      <c r="C502" s="240">
        <f>I71</f>
        <v>0</v>
      </c>
      <c r="D502" s="240">
        <f>'[1]Prior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'[1]Prior Year'!J71</f>
        <v>0</v>
      </c>
      <c r="C503" s="240">
        <f>J71</f>
        <v>0</v>
      </c>
      <c r="D503" s="240">
        <f>'[1]Prior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'[1]Prior Year'!K71</f>
        <v>0</v>
      </c>
      <c r="C504" s="240">
        <f>K71</f>
        <v>0</v>
      </c>
      <c r="D504" s="240">
        <f>'[1]Prior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'[1]Prior Year'!L71</f>
        <v>0</v>
      </c>
      <c r="C505" s="240">
        <f>L71</f>
        <v>0</v>
      </c>
      <c r="D505" s="240">
        <f>'[1]Prior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'[1]Prior Year'!M71</f>
        <v>5980549.5099999998</v>
      </c>
      <c r="C506" s="240">
        <f>M71</f>
        <v>6217062.29</v>
      </c>
      <c r="D506" s="240">
        <f>'[1]Prior Year'!M59</f>
        <v>3828</v>
      </c>
      <c r="E506" s="180">
        <f>M59</f>
        <v>4219</v>
      </c>
      <c r="F506" s="263">
        <f t="shared" si="15"/>
        <v>1562.3170088819227</v>
      </c>
      <c r="G506" s="263">
        <f t="shared" si="15"/>
        <v>1473.5867006399621</v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'[1]Prior Year'!N71</f>
        <v>16204315.480000002</v>
      </c>
      <c r="C507" s="240">
        <f>N71</f>
        <v>17467264.460000001</v>
      </c>
      <c r="D507" s="240">
        <f>'[1]Prior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'[1]Prior Year'!O71</f>
        <v>25074429.68</v>
      </c>
      <c r="C508" s="240">
        <f>O71</f>
        <v>27092826.789999995</v>
      </c>
      <c r="D508" s="240">
        <f>'[1]Prior Year'!O59</f>
        <v>4552</v>
      </c>
      <c r="E508" s="180">
        <f>O59</f>
        <v>4673</v>
      </c>
      <c r="F508" s="263">
        <f t="shared" si="15"/>
        <v>5508.4423725834795</v>
      </c>
      <c r="G508" s="263">
        <f t="shared" si="15"/>
        <v>5797.7373828375767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'[1]Prior Year'!P71</f>
        <v>59588662.580999993</v>
      </c>
      <c r="C509" s="240">
        <f>P71</f>
        <v>55090879.239999995</v>
      </c>
      <c r="D509" s="240">
        <f>'[1]Prior Year'!P59</f>
        <v>908664</v>
      </c>
      <c r="E509" s="180">
        <f>P59</f>
        <v>843673</v>
      </c>
      <c r="F509" s="263">
        <f t="shared" si="15"/>
        <v>65.578324420247739</v>
      </c>
      <c r="G509" s="263">
        <f t="shared" si="15"/>
        <v>65.298853039032892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'[1]Prior Year'!Q71</f>
        <v>5202835.0200000005</v>
      </c>
      <c r="C510" s="240">
        <f>Q71</f>
        <v>9202884.5699999984</v>
      </c>
      <c r="D510" s="240">
        <f>'[1]Prior Year'!Q59</f>
        <v>1509023</v>
      </c>
      <c r="E510" s="180">
        <f>Q59</f>
        <v>2118794</v>
      </c>
      <c r="F510" s="263">
        <f t="shared" si="15"/>
        <v>3.4478169120020041</v>
      </c>
      <c r="G510" s="263">
        <f t="shared" si="15"/>
        <v>4.3434541394774566</v>
      </c>
      <c r="H510" s="265">
        <f t="shared" si="16"/>
        <v>0.25976937010712464</v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'[1]Prior Year'!R71</f>
        <v>1301681.49</v>
      </c>
      <c r="C511" s="240">
        <f>R71</f>
        <v>1436582.5699999998</v>
      </c>
      <c r="D511" s="240">
        <f>'[1]Prior Year'!R59</f>
        <v>947293</v>
      </c>
      <c r="E511" s="180">
        <f>R59</f>
        <v>1411799</v>
      </c>
      <c r="F511" s="263">
        <f t="shared" si="15"/>
        <v>1.374106522480373</v>
      </c>
      <c r="G511" s="263">
        <f t="shared" si="15"/>
        <v>1.0175546023194519</v>
      </c>
      <c r="H511" s="265">
        <f t="shared" si="16"/>
        <v>-0.25947909738272412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'[1]Prior Year'!S71</f>
        <v>2702378.54</v>
      </c>
      <c r="C512" s="240">
        <f>S71</f>
        <v>3082175.71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'[1]Prior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'[1]Prior Year'!U71</f>
        <v>15098929.093</v>
      </c>
      <c r="C514" s="240">
        <f>U71</f>
        <v>17081767</v>
      </c>
      <c r="D514" s="240">
        <f>'[1]Prior Year'!U59</f>
        <v>804851</v>
      </c>
      <c r="E514" s="180">
        <f>U59</f>
        <v>863693</v>
      </c>
      <c r="F514" s="263">
        <f t="shared" si="17"/>
        <v>18.759905986325421</v>
      </c>
      <c r="G514" s="263">
        <f t="shared" si="17"/>
        <v>19.777591111656573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'[1]Prior Year'!V71</f>
        <v>202149.05</v>
      </c>
      <c r="C515" s="240">
        <f>V71</f>
        <v>198617.35</v>
      </c>
      <c r="D515" s="240">
        <f>'[1]Prior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'[1]Prior Year'!W71</f>
        <v>1336194.5649999999</v>
      </c>
      <c r="C516" s="240">
        <f>W71</f>
        <v>1372797.97</v>
      </c>
      <c r="D516" s="240">
        <f>'[1]Prior Year'!W59</f>
        <v>35394.33</v>
      </c>
      <c r="E516" s="180">
        <f>W59</f>
        <v>33368.589999999997</v>
      </c>
      <c r="F516" s="263">
        <f t="shared" si="17"/>
        <v>37.751655844311784</v>
      </c>
      <c r="G516" s="263">
        <f t="shared" si="17"/>
        <v>41.140424872612243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'[1]Prior Year'!X71</f>
        <v>2380105.66</v>
      </c>
      <c r="C517" s="240">
        <f>X71</f>
        <v>2708222.34</v>
      </c>
      <c r="D517" s="240">
        <f>'[1]Prior Year'!X59</f>
        <v>130386.44</v>
      </c>
      <c r="E517" s="180">
        <f>X59</f>
        <v>143766.91</v>
      </c>
      <c r="F517" s="263">
        <f t="shared" si="17"/>
        <v>18.254242235618982</v>
      </c>
      <c r="G517" s="263">
        <f t="shared" si="17"/>
        <v>18.837591626612827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'[1]Prior Year'!Y71</f>
        <v>28322076.506999999</v>
      </c>
      <c r="C518" s="240">
        <f>Y71</f>
        <v>30446681.539999995</v>
      </c>
      <c r="D518" s="240">
        <f>'[1]Prior Year'!Y59</f>
        <v>356012.05</v>
      </c>
      <c r="E518" s="180">
        <f>Y59</f>
        <v>369557.11</v>
      </c>
      <c r="F518" s="263">
        <f t="shared" si="17"/>
        <v>79.553701923853424</v>
      </c>
      <c r="G518" s="263">
        <f t="shared" si="17"/>
        <v>82.386945660442024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'[1]Prior Year'!Z71</f>
        <v>7980554.0899999999</v>
      </c>
      <c r="C519" s="240">
        <f>Z71</f>
        <v>7915170.7400000002</v>
      </c>
      <c r="D519" s="240">
        <f>'[1]Prior Year'!Z59</f>
        <v>52817.56</v>
      </c>
      <c r="E519" s="180">
        <f>Z59</f>
        <v>64630.23</v>
      </c>
      <c r="F519" s="263">
        <f t="shared" si="17"/>
        <v>151.09660669671223</v>
      </c>
      <c r="G519" s="263">
        <f t="shared" si="17"/>
        <v>122.46855287378676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'[1]Prior Year'!AA71</f>
        <v>1127679.8</v>
      </c>
      <c r="C520" s="240">
        <f>AA71</f>
        <v>1110507.73</v>
      </c>
      <c r="D520" s="240">
        <f>'[1]Prior Year'!AA59</f>
        <v>14083.609999999999</v>
      </c>
      <c r="E520" s="180">
        <f>AA59</f>
        <v>13759.99</v>
      </c>
      <c r="F520" s="263">
        <f t="shared" si="17"/>
        <v>80.070365481577525</v>
      </c>
      <c r="G520" s="263">
        <f t="shared" si="17"/>
        <v>80.705562286019102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'[1]Prior Year'!AB71</f>
        <v>23759705.399999995</v>
      </c>
      <c r="C521" s="240">
        <f>AB71</f>
        <v>26391855.509999994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'[1]Prior Year'!AC71</f>
        <v>3016690.7000000007</v>
      </c>
      <c r="C522" s="240">
        <f>AC71</f>
        <v>3206966.8299999996</v>
      </c>
      <c r="D522" s="240">
        <f>'[1]Prior Year'!AC59</f>
        <v>27204.33</v>
      </c>
      <c r="E522" s="180">
        <f>AC59</f>
        <v>30036.83</v>
      </c>
      <c r="F522" s="263">
        <f t="shared" si="17"/>
        <v>110.89009359907045</v>
      </c>
      <c r="G522" s="263">
        <f t="shared" si="17"/>
        <v>106.76781904082419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'[1]Prior Year'!AD71</f>
        <v>0</v>
      </c>
      <c r="C523" s="240">
        <f>AD71</f>
        <v>0</v>
      </c>
      <c r="D523" s="240">
        <f>'[1]Prior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'[1]Prior Year'!AE71</f>
        <v>6833640.1499999994</v>
      </c>
      <c r="C524" s="240">
        <f>AE71</f>
        <v>7099658.459999999</v>
      </c>
      <c r="D524" s="240">
        <f>'[1]Prior Year'!AE59</f>
        <v>83563.179999999993</v>
      </c>
      <c r="E524" s="180">
        <f>AE59</f>
        <v>86832</v>
      </c>
      <c r="F524" s="263">
        <f t="shared" si="17"/>
        <v>81.77812464772164</v>
      </c>
      <c r="G524" s="263">
        <f t="shared" si="17"/>
        <v>81.763157131011596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'[1]Prior Year'!AF71</f>
        <v>0</v>
      </c>
      <c r="C525" s="240">
        <f>AF71</f>
        <v>0</v>
      </c>
      <c r="D525" s="240">
        <f>'[1]Prior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'[1]Prior Year'!AG71</f>
        <v>16032838.036</v>
      </c>
      <c r="C526" s="240">
        <f>AG71</f>
        <v>17123804.620000001</v>
      </c>
      <c r="D526" s="240">
        <f>'[1]Prior Year'!AG59</f>
        <v>57153</v>
      </c>
      <c r="E526" s="180">
        <f>AG59</f>
        <v>59802</v>
      </c>
      <c r="F526" s="263">
        <f t="shared" si="17"/>
        <v>280.52487246513743</v>
      </c>
      <c r="G526" s="263">
        <f t="shared" si="17"/>
        <v>286.34167118156586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'[1]Prior Year'!AH71</f>
        <v>0</v>
      </c>
      <c r="C527" s="240">
        <f>AH71</f>
        <v>0</v>
      </c>
      <c r="D527" s="240">
        <f>'[1]Prior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'[1]Prior Year'!AI71</f>
        <v>0</v>
      </c>
      <c r="C528" s="240">
        <f>AI71</f>
        <v>0</v>
      </c>
      <c r="D528" s="240">
        <f>'[1]Prior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'[1]Prior Year'!AJ71</f>
        <v>92175443.554999992</v>
      </c>
      <c r="C529" s="240">
        <f>AJ71</f>
        <v>95876828.919999972</v>
      </c>
      <c r="D529" s="240">
        <f>'[1]Prior Year'!AJ59</f>
        <v>274894</v>
      </c>
      <c r="E529" s="180">
        <f>AJ59</f>
        <v>280221</v>
      </c>
      <c r="F529" s="263">
        <f t="shared" si="18"/>
        <v>335.31267890532348</v>
      </c>
      <c r="G529" s="263">
        <f t="shared" si="18"/>
        <v>342.14719425025237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'[1]Prior Year'!AK71</f>
        <v>0</v>
      </c>
      <c r="C530" s="240">
        <f>AK71</f>
        <v>0</v>
      </c>
      <c r="D530" s="240">
        <f>'[1]Prior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'[1]Prior Year'!AL71</f>
        <v>0</v>
      </c>
      <c r="C531" s="240">
        <f>AL71</f>
        <v>0</v>
      </c>
      <c r="D531" s="240">
        <f>'[1]Prior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'[1]Prior Year'!AM71</f>
        <v>0</v>
      </c>
      <c r="C532" s="240">
        <f>AM71</f>
        <v>0</v>
      </c>
      <c r="D532" s="240">
        <f>'[1]Prior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'[1]Prior Year'!AN71</f>
        <v>0</v>
      </c>
      <c r="C533" s="240">
        <f>AN71</f>
        <v>0</v>
      </c>
      <c r="D533" s="240">
        <f>'[1]Prior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'[1]Prior Year'!AO71</f>
        <v>0</v>
      </c>
      <c r="C534" s="240">
        <f>AO71</f>
        <v>0</v>
      </c>
      <c r="D534" s="240">
        <f>'[1]Prior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'[1]Prior Year'!AP71</f>
        <v>68084707.111000001</v>
      </c>
      <c r="C535" s="240">
        <f>AP71</f>
        <v>70319009.890000001</v>
      </c>
      <c r="D535" s="240">
        <f>'[1]Prior Year'!AP59</f>
        <v>328699</v>
      </c>
      <c r="E535" s="180">
        <f>AP59</f>
        <v>342305</v>
      </c>
      <c r="F535" s="263">
        <f t="shared" si="18"/>
        <v>207.13390400031639</v>
      </c>
      <c r="G535" s="263">
        <f t="shared" si="18"/>
        <v>205.42793675231152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'[1]Prior Year'!AQ71</f>
        <v>0</v>
      </c>
      <c r="C536" s="240">
        <f>AQ71</f>
        <v>0</v>
      </c>
      <c r="D536" s="240">
        <f>'[1]Prior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'[1]Prior Year'!AR71</f>
        <v>63271759.472000003</v>
      </c>
      <c r="C537" s="240">
        <f>AR71</f>
        <v>66164491.689999998</v>
      </c>
      <c r="D537" s="240">
        <f>'[1]Prior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'[1]Prior Year'!AS71</f>
        <v>0</v>
      </c>
      <c r="C538" s="240">
        <f>AS71</f>
        <v>0</v>
      </c>
      <c r="D538" s="240">
        <f>'[1]Prior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'[1]Prior Year'!AT71</f>
        <v>0</v>
      </c>
      <c r="C539" s="240">
        <f>AT71</f>
        <v>0</v>
      </c>
      <c r="D539" s="240">
        <f>'[1]Prior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'[1]Prior Year'!AU71</f>
        <v>0</v>
      </c>
      <c r="C540" s="240">
        <f>AU71</f>
        <v>0</v>
      </c>
      <c r="D540" s="240">
        <f>'[1]Prior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'[1]Prior Year'!AV71</f>
        <v>3099763.5199999986</v>
      </c>
      <c r="C541" s="240">
        <f>AV71</f>
        <v>2706414.7300000014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'[1]Prior Year'!AW71</f>
        <v>-179547.14899999974</v>
      </c>
      <c r="C542" s="240">
        <f>AW71</f>
        <v>-1098339.9150000003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'[1]Prior Year'!AX71</f>
        <v>3854968.9819999998</v>
      </c>
      <c r="C543" s="240">
        <f>AX71</f>
        <v>4071206.3700000006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'[1]Prior Year'!AY71</f>
        <v>0</v>
      </c>
      <c r="C544" s="240">
        <f>AY71</f>
        <v>0</v>
      </c>
      <c r="D544" s="240">
        <f>'[1]Prior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'[1]Prior Year'!AZ71</f>
        <v>4344413.7059999993</v>
      </c>
      <c r="C545" s="240">
        <f>AZ71</f>
        <v>4576418.7300000004</v>
      </c>
      <c r="D545" s="240">
        <f>'[1]Prior Year'!AZ59</f>
        <v>795431.23</v>
      </c>
      <c r="E545" s="180">
        <f>AZ59</f>
        <v>902499.11</v>
      </c>
      <c r="F545" s="263">
        <f t="shared" si="19"/>
        <v>5.4617087463362477</v>
      </c>
      <c r="G545" s="263">
        <f t="shared" si="19"/>
        <v>5.0708290781583161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'[1]Prior Year'!BA71</f>
        <v>373719.39999999997</v>
      </c>
      <c r="C546" s="240">
        <f>BA71</f>
        <v>380498.7</v>
      </c>
      <c r="D546" s="240">
        <f>'[1]Prior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'[1]Prior Year'!BB71</f>
        <v>240526.33999999997</v>
      </c>
      <c r="C547" s="240">
        <f>BB71</f>
        <v>318149.88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'[1]Prior Year'!BC71</f>
        <v>447925.42999999993</v>
      </c>
      <c r="C548" s="240">
        <f>BC71</f>
        <v>439688.55000000005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'[1]Prior Year'!BD71</f>
        <v>2794288.4400000009</v>
      </c>
      <c r="C549" s="240">
        <f>BD71</f>
        <v>3042193.1400000006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'[1]Prior Year'!BE71</f>
        <v>15547051.300000003</v>
      </c>
      <c r="C550" s="240">
        <f>BE71</f>
        <v>15143013.750000004</v>
      </c>
      <c r="D550" s="240">
        <f>'[1]Prior Year'!BE59</f>
        <v>782365</v>
      </c>
      <c r="E550" s="180">
        <f>BE59</f>
        <v>782432</v>
      </c>
      <c r="F550" s="263">
        <f t="shared" si="19"/>
        <v>19.871864538930044</v>
      </c>
      <c r="G550" s="263">
        <f t="shared" si="19"/>
        <v>19.353776110895264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'[1]Prior Year'!BF71</f>
        <v>5809572.1299999999</v>
      </c>
      <c r="C551" s="240">
        <f>BF71</f>
        <v>6041792.9999999991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'[1]Prior Year'!BG71</f>
        <v>2269557.4299999997</v>
      </c>
      <c r="C552" s="240">
        <f>BG71</f>
        <v>2595456.46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'[1]Prior Year'!BH71</f>
        <v>28912914.355</v>
      </c>
      <c r="C553" s="240">
        <f>BH71</f>
        <v>32651147.949999999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'[1]Prior Year'!BI71</f>
        <v>2697600.46</v>
      </c>
      <c r="C554" s="240">
        <f>BI71</f>
        <v>2729294.7800000012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'[1]Prior Year'!BJ71</f>
        <v>1942339.1099999996</v>
      </c>
      <c r="C555" s="240">
        <f>BJ71</f>
        <v>2092687.9900000002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'[1]Prior Year'!BK71</f>
        <v>10387670.100000001</v>
      </c>
      <c r="C556" s="240">
        <f>BK71</f>
        <v>9970506.790000001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'[1]Prior Year'!BL71</f>
        <v>4368500.68</v>
      </c>
      <c r="C557" s="240">
        <f>BL71</f>
        <v>4505444.5799999991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'[1]Prior Year'!BM71</f>
        <v>3867644.55</v>
      </c>
      <c r="C558" s="240">
        <f>BM71</f>
        <v>4297307.97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'[1]Prior Year'!BN71</f>
        <v>12445542.48</v>
      </c>
      <c r="C559" s="240">
        <f>BN71</f>
        <v>15620547.799000001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'[1]Prior Year'!BO71</f>
        <v>1097067.9879999999</v>
      </c>
      <c r="C560" s="240">
        <f>BO71</f>
        <v>1114407.75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'[1]Prior Year'!BP71</f>
        <v>4365665.169999999</v>
      </c>
      <c r="C561" s="240">
        <f>BP71</f>
        <v>4310649.8899999997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'[1]Prior Year'!BQ71</f>
        <v>491671.6399999999</v>
      </c>
      <c r="C562" s="240">
        <f>BQ71</f>
        <v>589983.66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'[1]Prior Year'!BR71</f>
        <v>4382053.5999999996</v>
      </c>
      <c r="C563" s="240">
        <f>BR71</f>
        <v>3951275.63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'[1]Prior Year'!BS71</f>
        <v>133740.64000000001</v>
      </c>
      <c r="C564" s="240">
        <f>BS71</f>
        <v>189711.86999999988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'[1]Prior Year'!BT71</f>
        <v>200624.88999999998</v>
      </c>
      <c r="C565" s="240">
        <f>BT71</f>
        <v>184738.65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'[1]Prior Year'!BU71</f>
        <v>230371.04</v>
      </c>
      <c r="C566" s="240">
        <f>BU71</f>
        <v>221001.51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'[1]Prior Year'!BV71</f>
        <v>6058922.1120000007</v>
      </c>
      <c r="C567" s="240">
        <f>BV71</f>
        <v>6066399.4300000006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'[1]Prior Year'!BW71</f>
        <v>2728504.1569999992</v>
      </c>
      <c r="C568" s="240">
        <f>BW71</f>
        <v>3192118.2499999995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'[1]Prior Year'!BX71</f>
        <v>7176595.5000000019</v>
      </c>
      <c r="C569" s="240">
        <f>BX71</f>
        <v>7911659.6999999993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'[1]Prior Year'!BY71</f>
        <v>2407243.61</v>
      </c>
      <c r="C570" s="240">
        <f>BY71</f>
        <v>2702715.4700000007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'[1]Prior Year'!BZ71</f>
        <v>4182646.41</v>
      </c>
      <c r="C571" s="240">
        <f>BZ71</f>
        <v>3735747.6800000006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'[1]Prior Year'!CA71</f>
        <v>2234503.3899999997</v>
      </c>
      <c r="C572" s="240">
        <f>CA71</f>
        <v>1898288.1699999995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'[1]Prior Year'!CB71</f>
        <v>5248482.4470000006</v>
      </c>
      <c r="C573" s="240">
        <f>CB71</f>
        <v>5321162.089999998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'[1]Prior Year'!CC71</f>
        <v>-520160.38000000082</v>
      </c>
      <c r="C574" s="240">
        <f>CC71</f>
        <v>2797227.0600000005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'[1]Prior Year'!CD71</f>
        <v>9820816.5699999984</v>
      </c>
      <c r="C575" s="240">
        <f>CD71</f>
        <v>10313824.469999999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1124557</v>
      </c>
      <c r="E612" s="180">
        <f>SUM(C624:D647)+SUM(C668:D713)</f>
        <v>660746023.20101249</v>
      </c>
      <c r="F612" s="180">
        <f>CE64-(AX64+BD64+BE64+BG64+BJ64+BN64+BP64+BQ64+CB64+CC64+CD64)</f>
        <v>102377713.48</v>
      </c>
      <c r="G612" s="180">
        <f>CE77-(AX77+AY77+BD77+BE77+BG77+BJ77+BN77+BP77+BQ77+CB77+CC77+CD77)</f>
        <v>204227</v>
      </c>
      <c r="H612" s="197">
        <f>CE60-(AX60+AY60+AZ60+BD60+BE60+BG60+BJ60+BN60+BO60+BP60+BQ60+BR60+CB60+CC60+CD60)</f>
        <v>3476.2680528846158</v>
      </c>
      <c r="I612" s="180">
        <f>CE78-(AX78+AY78+AZ78+BD78+BE78+BF78+BG78+BJ78+BN78+BO78+BP78+BQ78+BR78+CB78+CC78+CD78)</f>
        <v>113199</v>
      </c>
      <c r="J612" s="180">
        <f>CE79-(AX79+AY79+AZ79+BA79+BD79+BE79+BF79+BG79+BJ79+BN79+BO79+BP79+BQ79+BR79+CB79+CC79+CD79)</f>
        <v>2358105.17</v>
      </c>
      <c r="K612" s="180">
        <f>CE75-(AW75+AX75+AY75+AZ75+BA75+BB75+BC75+BD75+BE75+BF75+BG75+BH75+BI75+BJ75+BK75+BL75+BM75+BN75+BO75+BP75+BQ75+BR75+BS75+BT75+BU75+BV75+BW75+BX75+CB75+CC75+CD75)</f>
        <v>1749986859.45</v>
      </c>
      <c r="L612" s="197">
        <f>CE80-(AW80+AX80+AY80+AZ80+BA80+BB80+BC80+BD80+BE80+BF80+BG80+BH80+BI80+BJ80+BK80+BL80+BM80+BN80+BO80+BP80+BQ80+BR80+BS80+BT80+BU80+BV80+BW80+BX80+BY80+BZ80+CA80+CB80+CC80+CD80)</f>
        <v>961.46738942307684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15143013.750000004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10313824.469999999</v>
      </c>
      <c r="D615" s="266">
        <f>SUM(C614:C615)</f>
        <v>25456838.220000003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4071206.3700000006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2092687.9900000002</v>
      </c>
      <c r="D617" s="180">
        <f>(D615/D612)*BJ76</f>
        <v>96525.083361786033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2595456.46</v>
      </c>
      <c r="D618" s="180">
        <f>(D615/D612)*BG76</f>
        <v>112778.60349634569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15620547.799000001</v>
      </c>
      <c r="D619" s="180">
        <f>(D615/D612)*BN76</f>
        <v>317984.95449882938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2797227.0600000005</v>
      </c>
      <c r="D620" s="180">
        <f>(D615/D612)*CC76</f>
        <v>160475.21481043648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4310649.8899999997</v>
      </c>
      <c r="D621" s="180">
        <f>(D615/D612)*BP76</f>
        <v>42874.884588935915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5321162.089999998</v>
      </c>
      <c r="D622" s="180">
        <f>(D615/D612)*CB76</f>
        <v>163893.43422592187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589983.66</v>
      </c>
      <c r="D623" s="180">
        <f>(D615/D612)*BQ76</f>
        <v>37962.60900509268</v>
      </c>
      <c r="E623" s="180">
        <f>SUM(C616:D623)</f>
        <v>38331416.102987349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3042193.1400000006</v>
      </c>
      <c r="D624" s="180">
        <f>(D615/D612)*BD76</f>
        <v>218743.40537639268</v>
      </c>
      <c r="E624" s="180">
        <f>(E623/E612)*SUM(C624:D624)</f>
        <v>189174.52578936549</v>
      </c>
      <c r="F624" s="180">
        <f>SUM(C624:E624)</f>
        <v>3450111.0711657591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3951275.63</v>
      </c>
      <c r="D626" s="180">
        <f>(D615/D612)*BR76</f>
        <v>79049.153634933595</v>
      </c>
      <c r="E626" s="180">
        <f>(E623/E612)*SUM(C626:D626)</f>
        <v>233808.52988455241</v>
      </c>
      <c r="F626" s="180">
        <f>(F624/F612)*BR64</f>
        <v>1468.7142164069544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1114407.75</v>
      </c>
      <c r="D627" s="180">
        <f>(D615/D612)*BO76</f>
        <v>47379.690308681558</v>
      </c>
      <c r="E627" s="180">
        <f>(E623/E612)*SUM(C627:D627)</f>
        <v>67397.995953051402</v>
      </c>
      <c r="F627" s="180">
        <f>(F624/F612)*BO64</f>
        <v>5357.8183051175838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4576418.7300000004</v>
      </c>
      <c r="D628" s="180">
        <f>(D615/D612)*AZ76</f>
        <v>520837.0351754158</v>
      </c>
      <c r="E628" s="180">
        <f>(E623/E612)*SUM(C628:D628)</f>
        <v>295703.68168352928</v>
      </c>
      <c r="F628" s="180">
        <f>(F624/F612)*AZ64</f>
        <v>67062.883092430493</v>
      </c>
      <c r="G628" s="180">
        <f>(G625/G612)*AZ77</f>
        <v>0</v>
      </c>
      <c r="H628" s="180">
        <f>SUM(C626:G628)</f>
        <v>10960167.612254122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6041792.9999999991</v>
      </c>
      <c r="D629" s="180">
        <f>(D615/D612)*BF76</f>
        <v>214487.60901804004</v>
      </c>
      <c r="E629" s="180">
        <f>(E623/E612)*SUM(C629:D629)</f>
        <v>362941.41297974304</v>
      </c>
      <c r="F629" s="180">
        <f>(F624/F612)*BF64</f>
        <v>11670.178436283848</v>
      </c>
      <c r="G629" s="180">
        <f>(G625/G612)*BF77</f>
        <v>0</v>
      </c>
      <c r="H629" s="180">
        <f>(H628/H612)*BF60</f>
        <v>315948.28390234319</v>
      </c>
      <c r="I629" s="180">
        <f>SUM(C629:H629)</f>
        <v>6946840.4843364097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380498.7</v>
      </c>
      <c r="D630" s="180">
        <f>(D615/D612)*BA76</f>
        <v>81244.963458126193</v>
      </c>
      <c r="E630" s="180">
        <f>(E623/E612)*SUM(C630:D630)</f>
        <v>26786.825611429678</v>
      </c>
      <c r="F630" s="180">
        <f>(F624/F612)*BA64</f>
        <v>772.88022113661395</v>
      </c>
      <c r="G630" s="180">
        <f>(G625/G612)*BA77</f>
        <v>0</v>
      </c>
      <c r="H630" s="180">
        <f>(H628/H612)*BA60</f>
        <v>17087.304599363659</v>
      </c>
      <c r="I630" s="180">
        <f>(I629/I612)*BA78</f>
        <v>24056.409242660029</v>
      </c>
      <c r="J630" s="180">
        <f>SUM(C630:I630)</f>
        <v>530447.08313271613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-1098339.9150000003</v>
      </c>
      <c r="D631" s="180">
        <f>(D615/D612)*AW76</f>
        <v>84029.340862793091</v>
      </c>
      <c r="E631" s="180">
        <f>(E623/E612)*SUM(C631:D631)</f>
        <v>-58842.519379167265</v>
      </c>
      <c r="F631" s="180">
        <f>(F624/F612)*AW64</f>
        <v>1116.825020349539</v>
      </c>
      <c r="G631" s="180">
        <f>(G625/G612)*AW77</f>
        <v>0</v>
      </c>
      <c r="H631" s="180">
        <f>(H628/H612)*AW60</f>
        <v>40314.247784729829</v>
      </c>
      <c r="I631" s="180">
        <f>(I629/I612)*AW78</f>
        <v>24915.566715612174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318149.88</v>
      </c>
      <c r="D632" s="180">
        <f>(D615/D612)*BB76</f>
        <v>0</v>
      </c>
      <c r="E632" s="180">
        <f>(E623/E612)*SUM(C632:D632)</f>
        <v>18456.615711912476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439688.55000000005</v>
      </c>
      <c r="D633" s="180">
        <f>(D615/D612)*BC76</f>
        <v>0</v>
      </c>
      <c r="E633" s="180">
        <f>(E623/E612)*SUM(C633:D633)</f>
        <v>25507.357099358374</v>
      </c>
      <c r="F633" s="180">
        <f>(F624/F612)*BC64</f>
        <v>21.653148827055979</v>
      </c>
      <c r="G633" s="180">
        <f>(G625/G612)*BC77</f>
        <v>0</v>
      </c>
      <c r="H633" s="180">
        <f>(H628/H612)*BC60</f>
        <v>22969.743010749848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2729294.7800000012</v>
      </c>
      <c r="D634" s="180">
        <f>(D615/D612)*BI76</f>
        <v>1609868.1586202569</v>
      </c>
      <c r="E634" s="180">
        <f>(E623/E612)*SUM(C634:D634)</f>
        <v>251724.95073544257</v>
      </c>
      <c r="F634" s="180">
        <f>(F624/F612)*BI64</f>
        <v>1039.1034499818506</v>
      </c>
      <c r="G634" s="180">
        <f>(G625/G612)*BI77</f>
        <v>0</v>
      </c>
      <c r="H634" s="180">
        <f>(H628/H612)*BI60</f>
        <v>60022.756851072554</v>
      </c>
      <c r="I634" s="180">
        <f>(I629/I612)*BI78</f>
        <v>477016.50266121532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9970506.790000001</v>
      </c>
      <c r="D635" s="180">
        <f>(D615/D612)*BK76</f>
        <v>369054.51079906139</v>
      </c>
      <c r="E635" s="180">
        <f>(E623/E612)*SUM(C635:D635)</f>
        <v>599822.03846378997</v>
      </c>
      <c r="F635" s="180">
        <f>(F624/F612)*BK64</f>
        <v>2742.1342375247223</v>
      </c>
      <c r="G635" s="180">
        <f>(G625/G612)*BK77</f>
        <v>0</v>
      </c>
      <c r="H635" s="180">
        <f>(H628/H612)*BK60</f>
        <v>285702.79844611033</v>
      </c>
      <c r="I635" s="180">
        <f>(I629/I612)*BK78</f>
        <v>109358.47262862288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32651147.949999999</v>
      </c>
      <c r="D636" s="180">
        <f>(D615/D612)*BH76</f>
        <v>434068.59133730002</v>
      </c>
      <c r="E636" s="180">
        <f>(E623/E612)*SUM(C636:D636)</f>
        <v>1919350.4880431592</v>
      </c>
      <c r="F636" s="180">
        <f>(F624/F612)*BH64</f>
        <v>34080.696128832162</v>
      </c>
      <c r="G636" s="180">
        <f>(G625/G612)*BH77</f>
        <v>0</v>
      </c>
      <c r="H636" s="180">
        <f>(H628/H612)*BH60</f>
        <v>335598.11652620957</v>
      </c>
      <c r="I636" s="180">
        <f>(I629/I612)*BH78</f>
        <v>128628.14737912097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4505444.5799999991</v>
      </c>
      <c r="D637" s="180">
        <f>(D615/D612)*BL76</f>
        <v>113412.44550716417</v>
      </c>
      <c r="E637" s="180">
        <f>(E623/E612)*SUM(C637:D637)</f>
        <v>267950.6563009008</v>
      </c>
      <c r="F637" s="180">
        <f>(F624/F612)*BL64</f>
        <v>1229.2607808822791</v>
      </c>
      <c r="G637" s="180">
        <f>(G625/G612)*BL77</f>
        <v>0</v>
      </c>
      <c r="H637" s="180">
        <f>(H628/H612)*BL60</f>
        <v>217536.27887613385</v>
      </c>
      <c r="I637" s="180">
        <f>(I629/I612)*BL78</f>
        <v>33629.878226983921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4297307.97</v>
      </c>
      <c r="D638" s="180">
        <f>(D615/D612)*BM76</f>
        <v>107458.85804840486</v>
      </c>
      <c r="E638" s="180">
        <f>(E623/E612)*SUM(C638:D638)</f>
        <v>255530.78519428973</v>
      </c>
      <c r="F638" s="180">
        <f>(F624/F612)*BM64</f>
        <v>859.02944384531406</v>
      </c>
      <c r="G638" s="180">
        <f>(G625/G612)*BM77</f>
        <v>0</v>
      </c>
      <c r="H638" s="180">
        <f>(H628/H612)*BM60</f>
        <v>84791.612657990787</v>
      </c>
      <c r="I638" s="180">
        <f>(I629/I612)*BM78</f>
        <v>31850.194890154478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189711.86999999988</v>
      </c>
      <c r="D639" s="180">
        <f>(D615/D612)*BS76</f>
        <v>85183.838811069611</v>
      </c>
      <c r="E639" s="180">
        <f>(E623/E612)*SUM(C639:D639)</f>
        <v>15947.340474809238</v>
      </c>
      <c r="F639" s="180">
        <f>(F624/F612)*BS64</f>
        <v>14917.266813921482</v>
      </c>
      <c r="G639" s="180">
        <f>(G625/G612)*BS77</f>
        <v>0</v>
      </c>
      <c r="H639" s="180">
        <f>(H628/H612)*BS60</f>
        <v>14401.557561456011</v>
      </c>
      <c r="I639" s="180">
        <f>(I629/I612)*BS78</f>
        <v>25222.408670237939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184738.65</v>
      </c>
      <c r="D640" s="180">
        <f>(D615/D612)*BT76</f>
        <v>21437.442294467957</v>
      </c>
      <c r="E640" s="180">
        <f>(E623/E612)*SUM(C640:D640)</f>
        <v>11960.755429053734</v>
      </c>
      <c r="F640" s="180">
        <f>(F624/F612)*BT64</f>
        <v>0</v>
      </c>
      <c r="G640" s="180">
        <f>(G625/G612)*BT77</f>
        <v>0</v>
      </c>
      <c r="H640" s="180">
        <f>(H628/H612)*BT60</f>
        <v>5088.3131669172608</v>
      </c>
      <c r="I640" s="180">
        <f>(I629/I612)*BT78</f>
        <v>6382.3126562159259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221001.51</v>
      </c>
      <c r="D641" s="180">
        <f>(D615/D612)*BU76</f>
        <v>9462.3557329330579</v>
      </c>
      <c r="E641" s="180">
        <f>(E623/E612)*SUM(C641:D641)</f>
        <v>13369.745747867451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2822.9459825570443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6066399.4300000006</v>
      </c>
      <c r="D642" s="180">
        <f>(D615/D612)*BV76</f>
        <v>173333.15274418285</v>
      </c>
      <c r="E642" s="180">
        <f>(E623/E612)*SUM(C642:D642)</f>
        <v>361981.42342473462</v>
      </c>
      <c r="F642" s="180">
        <f>(F624/F612)*BV64</f>
        <v>530.90940865307118</v>
      </c>
      <c r="G642" s="180">
        <f>(G625/G612)*BV77</f>
        <v>0</v>
      </c>
      <c r="H642" s="180">
        <f>(H628/H612)*BV60</f>
        <v>172361.57229888751</v>
      </c>
      <c r="I642" s="180">
        <f>(I629/I612)*BV78</f>
        <v>51365.343204353172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3192118.2499999995</v>
      </c>
      <c r="D643" s="180">
        <f>(D615/D612)*BW76</f>
        <v>78505.860482803459</v>
      </c>
      <c r="E643" s="180">
        <f>(E623/E612)*SUM(C643:D643)</f>
        <v>189736.52400967956</v>
      </c>
      <c r="F643" s="180">
        <f>(F624/F612)*BW64</f>
        <v>822.72596991345983</v>
      </c>
      <c r="G643" s="180">
        <f>(G625/G612)*BW77</f>
        <v>0</v>
      </c>
      <c r="H643" s="180">
        <f>(H628/H612)*BW60</f>
        <v>23941.883274708049</v>
      </c>
      <c r="I643" s="180">
        <f>(I629/I612)*BW78</f>
        <v>23258.62016063304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7911659.6999999993</v>
      </c>
      <c r="D644" s="180">
        <f>(D615/D612)*BX76</f>
        <v>80339.474871242637</v>
      </c>
      <c r="E644" s="180">
        <f>(E623/E612)*SUM(C644:D644)</f>
        <v>463634.49057570007</v>
      </c>
      <c r="F644" s="180">
        <f>(F624/F612)*BX64</f>
        <v>1677.397015337217</v>
      </c>
      <c r="G644" s="180">
        <f>(G625/G612)*BX77</f>
        <v>0</v>
      </c>
      <c r="H644" s="180">
        <f>(H628/H612)*BX60</f>
        <v>162646.82400139986</v>
      </c>
      <c r="I644" s="180">
        <f>(I629/I612)*BX78</f>
        <v>23810.935678959417</v>
      </c>
      <c r="J644" s="180">
        <f>(J630/J612)*BX79</f>
        <v>0</v>
      </c>
      <c r="K644" s="180">
        <f>SUM(C631:J644)</f>
        <v>81503788.711672306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2702715.4700000007</v>
      </c>
      <c r="D645" s="180">
        <f>(D615/D612)*BY76</f>
        <v>71216.677358390909</v>
      </c>
      <c r="E645" s="180">
        <f>(E623/E612)*SUM(C645:D645)</f>
        <v>160922.26611782471</v>
      </c>
      <c r="F645" s="180">
        <f>(F624/F612)*BY64</f>
        <v>30.646621236867862</v>
      </c>
      <c r="G645" s="180">
        <f>(G625/G612)*BY77</f>
        <v>0</v>
      </c>
      <c r="H645" s="180">
        <f>(H628/H612)*BY60</f>
        <v>56085.978341476533</v>
      </c>
      <c r="I645" s="180">
        <f>(I629/I612)*BY78</f>
        <v>21110.72647825268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3735747.6800000006</v>
      </c>
      <c r="D646" s="180">
        <f>(D615/D612)*BZ76</f>
        <v>0</v>
      </c>
      <c r="E646" s="180">
        <f>(E623/E612)*SUM(C646:D646)</f>
        <v>216719.42584554359</v>
      </c>
      <c r="F646" s="180">
        <f>(F624/F612)*BZ64</f>
        <v>88.363975235296749</v>
      </c>
      <c r="G646" s="180">
        <f>(G625/G612)*BZ77</f>
        <v>0</v>
      </c>
      <c r="H646" s="180">
        <f>(H628/H612)*BZ60</f>
        <v>94455.111910783831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1898288.1699999995</v>
      </c>
      <c r="D647" s="180">
        <f>(D615/D612)*CA76</f>
        <v>74815.994491253005</v>
      </c>
      <c r="E647" s="180">
        <f>(E623/E612)*SUM(C647:D647)</f>
        <v>114464.36919476188</v>
      </c>
      <c r="F647" s="180">
        <f>(F624/F612)*CA64</f>
        <v>5158.9263164665672</v>
      </c>
      <c r="G647" s="180">
        <f>(G625/G612)*CA77</f>
        <v>0</v>
      </c>
      <c r="H647" s="180">
        <f>(H628/H612)*CA60</f>
        <v>32436.673907553744</v>
      </c>
      <c r="I647" s="180">
        <f>(I629/I612)*CA78</f>
        <v>22153.989123980282</v>
      </c>
      <c r="J647" s="180">
        <f>(J630/J612)*CA79</f>
        <v>0</v>
      </c>
      <c r="K647" s="180">
        <v>0</v>
      </c>
      <c r="L647" s="180">
        <f>SUM(C645:K647)</f>
        <v>9206410.4696827605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161877927.80399999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22132583.199999996</v>
      </c>
      <c r="D668" s="180">
        <f>(D615/D612)*C76</f>
        <v>724006.0368574115</v>
      </c>
      <c r="E668" s="180">
        <f>(E623/E612)*SUM(C668:D668)</f>
        <v>1325963.9891415706</v>
      </c>
      <c r="F668" s="180">
        <f>(F624/F612)*C64</f>
        <v>53129.860119688063</v>
      </c>
      <c r="G668" s="180">
        <f>(G625/G612)*C77</f>
        <v>0</v>
      </c>
      <c r="H668" s="180">
        <f>(H628/H612)*C60</f>
        <v>460902.77354425384</v>
      </c>
      <c r="I668" s="180">
        <f>(I629/I612)*C78</f>
        <v>214543.89467433537</v>
      </c>
      <c r="J668" s="180">
        <f>(J630/J612)*C79</f>
        <v>41936.738173340513</v>
      </c>
      <c r="K668" s="180">
        <f>(K644/K612)*C75</f>
        <v>0</v>
      </c>
      <c r="L668" s="180">
        <f>(L647/L612)*C80</f>
        <v>977357.84626261378</v>
      </c>
      <c r="M668" s="180">
        <f t="shared" ref="M668:M713" si="20">ROUND(SUM(D668:L668),0)</f>
        <v>3797841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10968660.060000002</v>
      </c>
      <c r="D669" s="180">
        <f>(D615/D612)*D76</f>
        <v>553457.26151789562</v>
      </c>
      <c r="E669" s="180">
        <f>(E623/E612)*SUM(C669:D669)</f>
        <v>668424.86814964737</v>
      </c>
      <c r="F669" s="180">
        <f>(F624/F612)*D64</f>
        <v>19103.074275576637</v>
      </c>
      <c r="G669" s="180">
        <f>(G625/G612)*D77</f>
        <v>0</v>
      </c>
      <c r="H669" s="180">
        <f>(H628/H612)*D60</f>
        <v>220095.10835970021</v>
      </c>
      <c r="I669" s="180">
        <f>(I629/I612)*D78</f>
        <v>163976.34055200918</v>
      </c>
      <c r="J669" s="180">
        <f>(J630/J612)*D79</f>
        <v>46223.295026078151</v>
      </c>
      <c r="K669" s="180">
        <f>(K644/K612)*D75</f>
        <v>0</v>
      </c>
      <c r="L669" s="180">
        <f>(L647/L612)*D80</f>
        <v>432969.25529793306</v>
      </c>
      <c r="M669" s="180">
        <f t="shared" si="20"/>
        <v>2104249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32242441.009999998</v>
      </c>
      <c r="D670" s="180">
        <f>(D615/D612)*E76</f>
        <v>2545283.1433003042</v>
      </c>
      <c r="E670" s="180">
        <f>(E623/E612)*SUM(C670:D670)</f>
        <v>2018116.9208345432</v>
      </c>
      <c r="F670" s="180">
        <f>(F624/F612)*E64</f>
        <v>60031.831722404619</v>
      </c>
      <c r="G670" s="180">
        <f>(G625/G612)*E77</f>
        <v>0</v>
      </c>
      <c r="H670" s="180">
        <f>(H628/H612)*E60</f>
        <v>837280.44158929249</v>
      </c>
      <c r="I670" s="180">
        <f>(I629/I612)*E78</f>
        <v>754217.52447013208</v>
      </c>
      <c r="J670" s="180">
        <f>(J630/J612)*E79</f>
        <v>127831.83185326918</v>
      </c>
      <c r="K670" s="180">
        <f>(K644/K612)*E75</f>
        <v>0</v>
      </c>
      <c r="L670" s="180">
        <f>(L647/L612)*E80</f>
        <v>1553685.6057700051</v>
      </c>
      <c r="M670" s="180">
        <f t="shared" si="20"/>
        <v>7896447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48890.770000000004</v>
      </c>
      <c r="D671" s="180">
        <f>(D615/D612)*F76</f>
        <v>3418.2194154853873</v>
      </c>
      <c r="E671" s="180">
        <f>(E623/E612)*SUM(C671:D671)</f>
        <v>3034.5663368476235</v>
      </c>
      <c r="F671" s="180">
        <f>(F624/F612)*F64</f>
        <v>0</v>
      </c>
      <c r="G671" s="180">
        <f>(G625/G612)*F77</f>
        <v>0</v>
      </c>
      <c r="H671" s="180">
        <f>(H628/H612)*F60</f>
        <v>874.55335187782134</v>
      </c>
      <c r="I671" s="180">
        <f>(I629/I612)*F78</f>
        <v>1043.2626457276033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8371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2494465.5099999998</v>
      </c>
      <c r="D672" s="180">
        <f>(D615/D612)*G76</f>
        <v>199660.23340782194</v>
      </c>
      <c r="E672" s="180">
        <f>(E623/E612)*SUM(C672:D672)</f>
        <v>156292.5107048561</v>
      </c>
      <c r="F672" s="180">
        <f>(F624/F612)*G64</f>
        <v>2645.8379973820884</v>
      </c>
      <c r="G672" s="180">
        <f>(G625/G612)*G77</f>
        <v>0</v>
      </c>
      <c r="H672" s="180">
        <f>(H628/H612)*G60</f>
        <v>59138.669145715627</v>
      </c>
      <c r="I672" s="180">
        <f>(I629/I612)*G78</f>
        <v>59159.128851847621</v>
      </c>
      <c r="J672" s="180">
        <f>(J630/J612)*G79</f>
        <v>8286.2689049957717</v>
      </c>
      <c r="K672" s="180">
        <f>(K644/K612)*G75</f>
        <v>0</v>
      </c>
      <c r="L672" s="180">
        <f>(L647/L612)*G80</f>
        <v>107530.44456517727</v>
      </c>
      <c r="M672" s="180">
        <f t="shared" si="20"/>
        <v>592713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6217062.29</v>
      </c>
      <c r="D678" s="180">
        <f>(D615/D612)*M76</f>
        <v>464515.64507125923</v>
      </c>
      <c r="E678" s="180">
        <f>(E623/E612)*SUM(C678:D678)</f>
        <v>387613.90165164898</v>
      </c>
      <c r="F678" s="180">
        <f>(F624/F612)*M64</f>
        <v>4697.0341502734755</v>
      </c>
      <c r="G678" s="180">
        <f>(G625/G612)*M77</f>
        <v>0</v>
      </c>
      <c r="H678" s="180">
        <f>(H628/H612)*M60</f>
        <v>152377.46130097512</v>
      </c>
      <c r="I678" s="180">
        <f>(I629/I612)*M78</f>
        <v>137649.30084511847</v>
      </c>
      <c r="J678" s="180">
        <f>(J630/J612)*M79</f>
        <v>6780.9101274265822</v>
      </c>
      <c r="K678" s="180">
        <f>(K644/K612)*M75</f>
        <v>313933.4027371413</v>
      </c>
      <c r="L678" s="180">
        <f>(L647/L612)*M80</f>
        <v>178772.24475820755</v>
      </c>
      <c r="M678" s="180">
        <f t="shared" si="20"/>
        <v>1646340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17467264.460000001</v>
      </c>
      <c r="D679" s="180">
        <f>(D615/D612)*N76</f>
        <v>115721.44140371721</v>
      </c>
      <c r="E679" s="180">
        <f>(E623/E612)*SUM(C679:D679)</f>
        <v>1020029.9740807175</v>
      </c>
      <c r="F679" s="180">
        <f>(F624/F612)*N64</f>
        <v>383.50940525066443</v>
      </c>
      <c r="G679" s="180">
        <f>(G625/G612)*N77</f>
        <v>0</v>
      </c>
      <c r="H679" s="180">
        <f>(H628/H612)*N60</f>
        <v>150711.13218760019</v>
      </c>
      <c r="I679" s="180">
        <f>(I629/I612)*N78</f>
        <v>34304.930527160606</v>
      </c>
      <c r="J679" s="180">
        <f>(J630/J612)*N79</f>
        <v>0</v>
      </c>
      <c r="K679" s="180">
        <f>(K644/K612)*N75</f>
        <v>809732.05428023322</v>
      </c>
      <c r="L679" s="180">
        <f>(L647/L612)*N80</f>
        <v>0</v>
      </c>
      <c r="M679" s="180">
        <f t="shared" si="20"/>
        <v>2130883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27092826.789999995</v>
      </c>
      <c r="D680" s="180">
        <f>(D615/D612)*O76</f>
        <v>1231441.8409469509</v>
      </c>
      <c r="E680" s="180">
        <f>(E623/E612)*SUM(C680:D680)</f>
        <v>1643156.8084902784</v>
      </c>
      <c r="F680" s="180">
        <f>(F624/F612)*O64</f>
        <v>60421.519316649494</v>
      </c>
      <c r="G680" s="180">
        <f>(G625/G612)*O77</f>
        <v>0</v>
      </c>
      <c r="H680" s="180">
        <f>(H628/H612)*O60</f>
        <v>587659.69904001011</v>
      </c>
      <c r="I680" s="180">
        <f>(I629/I612)*O78</f>
        <v>364896.45244096057</v>
      </c>
      <c r="J680" s="180">
        <f>(J630/J612)*O79</f>
        <v>78544.862409101916</v>
      </c>
      <c r="K680" s="180">
        <f>(K644/K612)*O75</f>
        <v>5322757.5978906369</v>
      </c>
      <c r="L680" s="180">
        <f>(L647/L612)*O80</f>
        <v>1270674.4054478891</v>
      </c>
      <c r="M680" s="180">
        <f t="shared" si="20"/>
        <v>10559553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55090879.239999995</v>
      </c>
      <c r="D681" s="180">
        <f>(D615/D612)*P76</f>
        <v>1690660.3777849413</v>
      </c>
      <c r="E681" s="180">
        <f>(E623/E612)*SUM(C681:D681)</f>
        <v>3294029.3934927466</v>
      </c>
      <c r="F681" s="180">
        <f>(F624/F612)*P64</f>
        <v>1252939.0597212606</v>
      </c>
      <c r="G681" s="180">
        <f>(G625/G612)*P77</f>
        <v>0</v>
      </c>
      <c r="H681" s="180">
        <f>(H628/H612)*P60</f>
        <v>358144.51302135008</v>
      </c>
      <c r="I681" s="180">
        <f>(I629/I612)*P78</f>
        <v>500950.17512202507</v>
      </c>
      <c r="J681" s="180">
        <f>(J630/J612)*P79</f>
        <v>38708.87318590143</v>
      </c>
      <c r="K681" s="180">
        <f>(K644/K612)*P75</f>
        <v>13724593.106328737</v>
      </c>
      <c r="L681" s="180">
        <f>(L647/L612)*P80</f>
        <v>461671.99324362556</v>
      </c>
      <c r="M681" s="180">
        <f t="shared" si="20"/>
        <v>21321697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9202884.5699999984</v>
      </c>
      <c r="D682" s="180">
        <f>(D615/D612)*Q76</f>
        <v>115879.90190642183</v>
      </c>
      <c r="E682" s="180">
        <f>(E623/E612)*SUM(C682:D682)</f>
        <v>540603.23633565346</v>
      </c>
      <c r="F682" s="180">
        <f>(F624/F612)*Q64</f>
        <v>10814.614008488206</v>
      </c>
      <c r="G682" s="180">
        <f>(G625/G612)*Q77</f>
        <v>0</v>
      </c>
      <c r="H682" s="180">
        <f>(H628/H612)*Q60</f>
        <v>208348.87582115567</v>
      </c>
      <c r="I682" s="180">
        <f>(I629/I612)*Q78</f>
        <v>34304.930527160606</v>
      </c>
      <c r="J682" s="180">
        <f>(J630/J612)*Q79</f>
        <v>0</v>
      </c>
      <c r="K682" s="180">
        <f>(K644/K612)*Q75</f>
        <v>1267543.8184417463</v>
      </c>
      <c r="L682" s="180">
        <f>(L647/L612)*Q80</f>
        <v>458924.59728570003</v>
      </c>
      <c r="M682" s="180">
        <f t="shared" si="20"/>
        <v>2636420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1436582.5699999998</v>
      </c>
      <c r="D683" s="180">
        <f>(D615/D612)*R76</f>
        <v>14736.826751529716</v>
      </c>
      <c r="E683" s="180">
        <f>(E623/E612)*SUM(C683:D683)</f>
        <v>84194.419250095627</v>
      </c>
      <c r="F683" s="180">
        <f>(F624/F612)*R64</f>
        <v>15842.453396043387</v>
      </c>
      <c r="G683" s="180">
        <f>(G625/G612)*R77</f>
        <v>0</v>
      </c>
      <c r="H683" s="180">
        <f>(H628/H612)*R60</f>
        <v>24474.836960440582</v>
      </c>
      <c r="I683" s="180">
        <f>(I629/I612)*R78</f>
        <v>4357.1557556858725</v>
      </c>
      <c r="J683" s="180">
        <f>(J630/J612)*R79</f>
        <v>0</v>
      </c>
      <c r="K683" s="180">
        <f>(K644/K612)*R75</f>
        <v>2065935.3122153177</v>
      </c>
      <c r="L683" s="180">
        <f>(L647/L612)*R80</f>
        <v>208.31043414231209</v>
      </c>
      <c r="M683" s="180">
        <f t="shared" si="20"/>
        <v>2209749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3082175.71</v>
      </c>
      <c r="D684" s="180">
        <f>(D615/D612)*S76</f>
        <v>232484.1946823505</v>
      </c>
      <c r="E684" s="180">
        <f>(E623/E612)*SUM(C684:D684)</f>
        <v>192291.14301852504</v>
      </c>
      <c r="F684" s="180">
        <f>(F624/F612)*S64</f>
        <v>20704.606243928552</v>
      </c>
      <c r="G684" s="180">
        <f>(G625/G612)*S77</f>
        <v>0</v>
      </c>
      <c r="H684" s="180">
        <f>(H628/H612)*S60</f>
        <v>66661.759095288158</v>
      </c>
      <c r="I684" s="180">
        <f>(I629/I612)*S78</f>
        <v>68916.703008946977</v>
      </c>
      <c r="J684" s="180">
        <f>(J630/J612)*S79</f>
        <v>3811.2947641085989</v>
      </c>
      <c r="K684" s="180">
        <f>(K644/K612)*S75</f>
        <v>0</v>
      </c>
      <c r="L684" s="180">
        <f>(L647/L612)*S80</f>
        <v>0</v>
      </c>
      <c r="M684" s="180">
        <f t="shared" si="20"/>
        <v>584870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17081767</v>
      </c>
      <c r="D686" s="180">
        <f>(D615/D612)*U76</f>
        <v>535302.21535088052</v>
      </c>
      <c r="E686" s="180">
        <f>(E623/E612)*SUM(C686:D686)</f>
        <v>1022007.2265244754</v>
      </c>
      <c r="F686" s="180">
        <f>(F624/F612)*U64</f>
        <v>160337.73910118002</v>
      </c>
      <c r="G686" s="180">
        <f>(G625/G612)*U77</f>
        <v>0</v>
      </c>
      <c r="H686" s="180">
        <f>(H628/H612)*U60</f>
        <v>236015.69003117661</v>
      </c>
      <c r="I686" s="180">
        <f>(I629/I612)*U78</f>
        <v>158637.29054152087</v>
      </c>
      <c r="J686" s="180">
        <f>(J630/J612)*U79</f>
        <v>526.14269703455557</v>
      </c>
      <c r="K686" s="180">
        <f>(K644/K612)*U75</f>
        <v>5373477.5195893152</v>
      </c>
      <c r="L686" s="180">
        <f>(L647/L612)*U80</f>
        <v>186.44359298925173</v>
      </c>
      <c r="M686" s="180">
        <f t="shared" si="20"/>
        <v>7486490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198617.35</v>
      </c>
      <c r="D687" s="180">
        <f>(D615/D612)*V76</f>
        <v>7108.0854070358382</v>
      </c>
      <c r="E687" s="180">
        <f>(E623/E612)*SUM(C687:D687)</f>
        <v>11934.611773147715</v>
      </c>
      <c r="F687" s="180">
        <f>(F624/F612)*V64</f>
        <v>619.68755474277862</v>
      </c>
      <c r="G687" s="180">
        <f>(G625/G612)*V77</f>
        <v>0</v>
      </c>
      <c r="H687" s="180">
        <f>(H628/H612)*V60</f>
        <v>7207.0011211146148</v>
      </c>
      <c r="I687" s="180">
        <f>(I629/I612)*V78</f>
        <v>2086.5252914552066</v>
      </c>
      <c r="J687" s="180">
        <f>(J630/J612)*V79</f>
        <v>0</v>
      </c>
      <c r="K687" s="180">
        <f>(K644/K612)*V75</f>
        <v>91830.635698441314</v>
      </c>
      <c r="L687" s="180">
        <f>(L647/L612)*V80</f>
        <v>0</v>
      </c>
      <c r="M687" s="180">
        <f t="shared" si="20"/>
        <v>120787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1372797.97</v>
      </c>
      <c r="D688" s="180">
        <f>(D615/D612)*W76</f>
        <v>141641.05220325873</v>
      </c>
      <c r="E688" s="180">
        <f>(E623/E612)*SUM(C688:D688)</f>
        <v>87856.135768242413</v>
      </c>
      <c r="F688" s="180">
        <f>(F624/F612)*W64</f>
        <v>6913.6711711075668</v>
      </c>
      <c r="G688" s="180">
        <f>(G625/G612)*W77</f>
        <v>0</v>
      </c>
      <c r="H688" s="180">
        <f>(H628/H612)*W60</f>
        <v>20850.615475867446</v>
      </c>
      <c r="I688" s="180">
        <f>(I629/I612)*W78</f>
        <v>41975.979392804744</v>
      </c>
      <c r="J688" s="180">
        <f>(J630/J612)*W79</f>
        <v>4744.1269131996814</v>
      </c>
      <c r="K688" s="180">
        <f>(K644/K612)*W75</f>
        <v>754019.0076560165</v>
      </c>
      <c r="L688" s="180">
        <f>(L647/L612)*W80</f>
        <v>0</v>
      </c>
      <c r="M688" s="180">
        <f t="shared" si="20"/>
        <v>1058001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2708222.34</v>
      </c>
      <c r="D689" s="180">
        <f>(D615/D612)*X76</f>
        <v>71669.421651832687</v>
      </c>
      <c r="E689" s="180">
        <f>(E623/E612)*SUM(C689:D689)</f>
        <v>161267.9972267136</v>
      </c>
      <c r="F689" s="180">
        <f>(F624/F612)*X64</f>
        <v>15833.651001643702</v>
      </c>
      <c r="G689" s="180">
        <f>(G625/G612)*X77</f>
        <v>0</v>
      </c>
      <c r="H689" s="180">
        <f>(H628/H612)*X60</f>
        <v>45264.381036995837</v>
      </c>
      <c r="I689" s="180">
        <f>(I629/I612)*X78</f>
        <v>21233.463260102984</v>
      </c>
      <c r="J689" s="180">
        <f>(J630/J612)*X79</f>
        <v>0</v>
      </c>
      <c r="K689" s="180">
        <f>(K644/K612)*X75</f>
        <v>3127743.57996102</v>
      </c>
      <c r="L689" s="180">
        <f>(L647/L612)*X80</f>
        <v>0</v>
      </c>
      <c r="M689" s="180">
        <f t="shared" si="20"/>
        <v>3443012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30446681.539999995</v>
      </c>
      <c r="D690" s="180">
        <f>(D615/D612)*Y76</f>
        <v>1202126.6479465961</v>
      </c>
      <c r="E690" s="180">
        <f>(E623/E612)*SUM(C690:D690)</f>
        <v>1836021.0931557142</v>
      </c>
      <c r="F690" s="180">
        <f>(F624/F612)*Y64</f>
        <v>192514.10089431127</v>
      </c>
      <c r="G690" s="180">
        <f>(G625/G612)*Y77</f>
        <v>0</v>
      </c>
      <c r="H690" s="180">
        <f>(H628/H612)*Y60</f>
        <v>438227.27674930153</v>
      </c>
      <c r="I690" s="180">
        <f>(I629/I612)*Y78</f>
        <v>356182.14092958882</v>
      </c>
      <c r="J690" s="180">
        <f>(J630/J612)*Y79</f>
        <v>62127.510567220335</v>
      </c>
      <c r="K690" s="180">
        <f>(K644/K612)*Y75</f>
        <v>8220649.8722011875</v>
      </c>
      <c r="L690" s="180">
        <f>(L647/L612)*Y80</f>
        <v>219584.51708627943</v>
      </c>
      <c r="M690" s="180">
        <f t="shared" si="20"/>
        <v>12527433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7915170.7400000002</v>
      </c>
      <c r="D691" s="180">
        <f>(D615/D612)*Z76</f>
        <v>373355.5815867582</v>
      </c>
      <c r="E691" s="180">
        <f>(E623/E612)*SUM(C691:D691)</f>
        <v>480836.72115670226</v>
      </c>
      <c r="F691" s="180">
        <f>(F624/F612)*Z64</f>
        <v>11419.883429923335</v>
      </c>
      <c r="G691" s="180">
        <f>(G625/G612)*Z77</f>
        <v>0</v>
      </c>
      <c r="H691" s="180">
        <f>(H628/H612)*Z60</f>
        <v>64810.760620329609</v>
      </c>
      <c r="I691" s="180">
        <f>(I629/I612)*Z78</f>
        <v>110647.2088380511</v>
      </c>
      <c r="J691" s="180">
        <f>(J630/J612)*Z79</f>
        <v>9610.3007024615035</v>
      </c>
      <c r="K691" s="180">
        <f>(K644/K612)*Z75</f>
        <v>1877859.4364578966</v>
      </c>
      <c r="L691" s="180">
        <f>(L647/L612)*Z80</f>
        <v>37941.4092796779</v>
      </c>
      <c r="M691" s="180">
        <f t="shared" si="20"/>
        <v>2966481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1110507.73</v>
      </c>
      <c r="D692" s="180">
        <f>(D615/D612)*AA76</f>
        <v>25783.787511508981</v>
      </c>
      <c r="E692" s="180">
        <f>(E623/E612)*SUM(C692:D692)</f>
        <v>65918.918075391965</v>
      </c>
      <c r="F692" s="180">
        <f>(F624/F612)*AA64</f>
        <v>11344.378297073508</v>
      </c>
      <c r="G692" s="180">
        <f>(G625/G612)*AA77</f>
        <v>0</v>
      </c>
      <c r="H692" s="180">
        <f>(H628/H612)*AA60</f>
        <v>9834.8296142786949</v>
      </c>
      <c r="I692" s="180">
        <f>(I629/I612)*AA78</f>
        <v>7609.680474718989</v>
      </c>
      <c r="J692" s="180">
        <f>(J630/J612)*AA79</f>
        <v>0</v>
      </c>
      <c r="K692" s="180">
        <f>(K644/K612)*AA75</f>
        <v>188043.13427530389</v>
      </c>
      <c r="L692" s="180">
        <f>(L647/L612)*AA80</f>
        <v>0</v>
      </c>
      <c r="M692" s="180">
        <f t="shared" si="20"/>
        <v>308535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26391855.509999994</v>
      </c>
      <c r="D693" s="180">
        <f>(D615/D612)*AB76</f>
        <v>172880.40845074106</v>
      </c>
      <c r="E693" s="180">
        <f>(E623/E612)*SUM(C693:D693)</f>
        <v>1541082.2167692897</v>
      </c>
      <c r="F693" s="180">
        <f>(F624/F612)*AB64</f>
        <v>636406.73673097754</v>
      </c>
      <c r="G693" s="180">
        <f>(G625/G612)*AB77</f>
        <v>0</v>
      </c>
      <c r="H693" s="180">
        <f>(H628/H612)*AB60</f>
        <v>172845.17168425757</v>
      </c>
      <c r="I693" s="180">
        <f>(I629/I612)*AB78</f>
        <v>51242.606422502868</v>
      </c>
      <c r="J693" s="180">
        <f>(J630/J612)*AB79</f>
        <v>0</v>
      </c>
      <c r="K693" s="180">
        <f>(K644/K612)*AB75</f>
        <v>6873704.992864646</v>
      </c>
      <c r="L693" s="180">
        <f>(L647/L612)*AB80</f>
        <v>0</v>
      </c>
      <c r="M693" s="180">
        <f t="shared" si="20"/>
        <v>9448162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3206966.8299999996</v>
      </c>
      <c r="D694" s="180">
        <f>(D615/D612)*AC76</f>
        <v>59762.246734314052</v>
      </c>
      <c r="E694" s="180">
        <f>(E623/E612)*SUM(C694:D694)</f>
        <v>189510.56402792252</v>
      </c>
      <c r="F694" s="180">
        <f>(F624/F612)*AC64</f>
        <v>13101.090210524269</v>
      </c>
      <c r="G694" s="180">
        <f>(G625/G612)*AC77</f>
        <v>0</v>
      </c>
      <c r="H694" s="180">
        <f>(H628/H612)*AC60</f>
        <v>73786.528312389724</v>
      </c>
      <c r="I694" s="180">
        <f>(I629/I612)*AC78</f>
        <v>17735.464977369258</v>
      </c>
      <c r="J694" s="180">
        <f>(J630/J612)*AC79</f>
        <v>0</v>
      </c>
      <c r="K694" s="180">
        <f>(K644/K612)*AC75</f>
        <v>941193.67761120305</v>
      </c>
      <c r="L694" s="180">
        <f>(L647/L612)*AC80</f>
        <v>0</v>
      </c>
      <c r="M694" s="180">
        <f t="shared" si="20"/>
        <v>1295090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7099658.459999999</v>
      </c>
      <c r="D696" s="180">
        <f>(D615/D612)*AE76</f>
        <v>396445.54055228864</v>
      </c>
      <c r="E696" s="180">
        <f>(E623/E612)*SUM(C696:D696)</f>
        <v>434866.45625867695</v>
      </c>
      <c r="F696" s="180">
        <f>(F624/F612)*AE64</f>
        <v>3177.1612398913157</v>
      </c>
      <c r="G696" s="180">
        <f>(G625/G612)*AE77</f>
        <v>0</v>
      </c>
      <c r="H696" s="180">
        <f>(H628/H612)*AE60</f>
        <v>200902.16680509874</v>
      </c>
      <c r="I696" s="180">
        <f>(I629/I612)*AE78</f>
        <v>117459.1002307431</v>
      </c>
      <c r="J696" s="180">
        <f>(J630/J612)*AE79</f>
        <v>0</v>
      </c>
      <c r="K696" s="180">
        <f>(K644/K612)*AE75</f>
        <v>1641034.2822097023</v>
      </c>
      <c r="L696" s="180">
        <f>(L647/L612)*AE80</f>
        <v>0</v>
      </c>
      <c r="M696" s="180">
        <f t="shared" si="20"/>
        <v>2793885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17123804.620000001</v>
      </c>
      <c r="D698" s="180">
        <f>(D615/D612)*AG76</f>
        <v>1246337.1282011853</v>
      </c>
      <c r="E698" s="180">
        <f>(E623/E612)*SUM(C698:D698)</f>
        <v>1065694.7185392915</v>
      </c>
      <c r="F698" s="180">
        <f>(F624/F612)*AG64</f>
        <v>56557.214592467135</v>
      </c>
      <c r="G698" s="180">
        <f>(G625/G612)*AG77</f>
        <v>0</v>
      </c>
      <c r="H698" s="180">
        <f>(H628/H612)*AG60</f>
        <v>373587.39175181784</v>
      </c>
      <c r="I698" s="180">
        <f>(I629/I612)*AG78</f>
        <v>369314.97658757155</v>
      </c>
      <c r="J698" s="180">
        <f>(J630/J612)*AG79</f>
        <v>73570.946080346781</v>
      </c>
      <c r="K698" s="180">
        <f>(K644/K612)*AG75</f>
        <v>8074390.7048227321</v>
      </c>
      <c r="L698" s="180">
        <f>(L647/L612)*AG80</f>
        <v>640447.78273187263</v>
      </c>
      <c r="M698" s="180">
        <f t="shared" si="20"/>
        <v>11899901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95876828.919999972</v>
      </c>
      <c r="D701" s="180">
        <f>(D615/D612)*AJ76</f>
        <v>3264490.0906472332</v>
      </c>
      <c r="E701" s="180">
        <f>(E623/E612)*SUM(C701:D701)</f>
        <v>5751418.8788995873</v>
      </c>
      <c r="F701" s="180">
        <f>(F624/F612)*AJ64</f>
        <v>194965.49157301706</v>
      </c>
      <c r="G701" s="180">
        <f>(G625/G612)*AJ77</f>
        <v>0</v>
      </c>
      <c r="H701" s="180">
        <f>(H628/H612)*AJ60</f>
        <v>1516893.4927558026</v>
      </c>
      <c r="I701" s="180">
        <f>(I629/I612)*AJ78</f>
        <v>967288.57776226371</v>
      </c>
      <c r="J701" s="180">
        <f>(J630/J612)*AJ79</f>
        <v>18481.189350166256</v>
      </c>
      <c r="K701" s="180">
        <f>(K644/K612)*AJ75</f>
        <v>8740375.7208292075</v>
      </c>
      <c r="L701" s="180">
        <f>(L647/L612)*AJ80</f>
        <v>544904.78652225819</v>
      </c>
      <c r="M701" s="180">
        <f t="shared" si="20"/>
        <v>20998818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70319009.890000001</v>
      </c>
      <c r="D707" s="180">
        <f>(D615/D612)*AP76</f>
        <v>3927737.8433247586</v>
      </c>
      <c r="E707" s="180">
        <f>(E623/E612)*SUM(C707:D707)</f>
        <v>4307226.8038362414</v>
      </c>
      <c r="F707" s="180">
        <f>(F624/F612)*AP64</f>
        <v>194083.66284928215</v>
      </c>
      <c r="G707" s="180">
        <f>(G625/G612)*AP77</f>
        <v>0</v>
      </c>
      <c r="H707" s="180">
        <f>(H628/H612)*AP60</f>
        <v>1217212.8773706672</v>
      </c>
      <c r="I707" s="180">
        <f>(I629/I612)*AP78</f>
        <v>1163851.5338955293</v>
      </c>
      <c r="J707" s="180">
        <f>(J630/J612)*AP79</f>
        <v>0</v>
      </c>
      <c r="K707" s="180">
        <f>(K644/K612)*AP75</f>
        <v>5530356.5599476062</v>
      </c>
      <c r="L707" s="180">
        <f>(L647/L612)*AP80</f>
        <v>124315.89218881702</v>
      </c>
      <c r="M707" s="180">
        <f t="shared" si="20"/>
        <v>16464785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66164491.689999998</v>
      </c>
      <c r="D709" s="180">
        <f>(D615/D612)*AR76</f>
        <v>439886.35550802678</v>
      </c>
      <c r="E709" s="180">
        <f>(E623/E612)*SUM(C709:D709)</f>
        <v>3863875.1343136821</v>
      </c>
      <c r="F709" s="180">
        <f>(F624/F612)*AR64</f>
        <v>125648.03253329294</v>
      </c>
      <c r="G709" s="180">
        <f>(G625/G612)*AR77</f>
        <v>0</v>
      </c>
      <c r="H709" s="180">
        <f>(H628/H612)*AR60</f>
        <v>1446813.432989954</v>
      </c>
      <c r="I709" s="180">
        <f>(I629/I612)*AR78</f>
        <v>130346.46232502526</v>
      </c>
      <c r="J709" s="180">
        <f>(J630/J612)*AR79</f>
        <v>0</v>
      </c>
      <c r="K709" s="180">
        <f>(K644/K612)*AR75</f>
        <v>5983144.732372852</v>
      </c>
      <c r="L709" s="180">
        <f>(L647/L612)*AR80</f>
        <v>1607896.911612116</v>
      </c>
      <c r="M709" s="180">
        <f t="shared" si="20"/>
        <v>13597611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2706414.7300000014</v>
      </c>
      <c r="D713" s="180">
        <f>(D615/D612)*AV76</f>
        <v>294623.34895723389</v>
      </c>
      <c r="E713" s="180">
        <f>(E623/E612)*SUM(C713:D713)</f>
        <v>174097.2102838126</v>
      </c>
      <c r="F713" s="180">
        <f>(F624/F612)*AV64</f>
        <v>175827.75702699597</v>
      </c>
      <c r="G713" s="180">
        <f>(G625/G612)*AV77</f>
        <v>0</v>
      </c>
      <c r="H713" s="180">
        <f>(H628/H612)*AV60</f>
        <v>67857.115399522154</v>
      </c>
      <c r="I713" s="180">
        <f>(I629/I612)*AV78</f>
        <v>87327.220286492913</v>
      </c>
      <c r="J713" s="180">
        <f>(J630/J612)*AV79</f>
        <v>9262.7923780649398</v>
      </c>
      <c r="K713" s="180">
        <f>(K644/K612)*AV75</f>
        <v>581469.5632813574</v>
      </c>
      <c r="L713" s="180">
        <f>(L647/L612)*AV80</f>
        <v>589338.02360345668</v>
      </c>
      <c r="M713" s="180">
        <f t="shared" si="20"/>
        <v>1979803</v>
      </c>
      <c r="N713" s="199" t="s">
        <v>741</v>
      </c>
    </row>
    <row r="715" spans="1:83" ht="12.65" customHeight="1" x14ac:dyDescent="0.35">
      <c r="C715" s="180">
        <f>SUM(C614:C647)+SUM(C668:C713)</f>
        <v>699077439.3039999</v>
      </c>
      <c r="D715" s="180">
        <f>SUM(D616:D647)+SUM(D668:D713)</f>
        <v>25456838.220000003</v>
      </c>
      <c r="E715" s="180">
        <f>SUM(E624:E647)+SUM(E668:E713)</f>
        <v>38331416.102987349</v>
      </c>
      <c r="F715" s="180">
        <f>SUM(F625:F648)+SUM(F668:F713)</f>
        <v>3450111.0711657587</v>
      </c>
      <c r="G715" s="180">
        <f>SUM(G626:G647)+SUM(G668:G713)</f>
        <v>0</v>
      </c>
      <c r="H715" s="180">
        <f>SUM(H629:H647)+SUM(H668:H713)</f>
        <v>10960167.612254119</v>
      </c>
      <c r="I715" s="180">
        <f>SUM(I630:I647)+SUM(I668:I713)</f>
        <v>6946840.4843364088</v>
      </c>
      <c r="J715" s="180">
        <f>SUM(J631:J647)+SUM(J668:J713)</f>
        <v>530447.08313271613</v>
      </c>
      <c r="K715" s="180">
        <f>SUM(K668:K713)</f>
        <v>81503788.711672291</v>
      </c>
      <c r="L715" s="180">
        <f>SUM(L668:L713)</f>
        <v>9206410.4696827605</v>
      </c>
      <c r="M715" s="180">
        <f>SUM(M668:M713)</f>
        <v>161877927</v>
      </c>
      <c r="N715" s="198" t="s">
        <v>742</v>
      </c>
    </row>
    <row r="716" spans="1:83" ht="12.65" customHeight="1" x14ac:dyDescent="0.35">
      <c r="C716" s="180">
        <f>CE71</f>
        <v>699077439.30400002</v>
      </c>
      <c r="D716" s="180">
        <f>D615</f>
        <v>25456838.220000003</v>
      </c>
      <c r="E716" s="180">
        <f>E623</f>
        <v>38331416.102987349</v>
      </c>
      <c r="F716" s="180">
        <f>F624</f>
        <v>3450111.0711657591</v>
      </c>
      <c r="G716" s="180">
        <f>G625</f>
        <v>0</v>
      </c>
      <c r="H716" s="180">
        <f>H628</f>
        <v>10960167.612254122</v>
      </c>
      <c r="I716" s="180">
        <f>I629</f>
        <v>6946840.4843364097</v>
      </c>
      <c r="J716" s="180">
        <f>J630</f>
        <v>530447.08313271613</v>
      </c>
      <c r="K716" s="180">
        <f>K644</f>
        <v>81503788.711672306</v>
      </c>
      <c r="L716" s="180">
        <f>L647</f>
        <v>9206410.4696827605</v>
      </c>
      <c r="M716" s="180">
        <f>C648</f>
        <v>161877927.80399999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164*2019*A</v>
      </c>
      <c r="B722" s="276">
        <f>ROUND(C165,0)</f>
        <v>24957449</v>
      </c>
      <c r="C722" s="276">
        <f>ROUND(C166,0)</f>
        <v>310572</v>
      </c>
      <c r="D722" s="276">
        <f>ROUND(C167,0)</f>
        <v>2147663</v>
      </c>
      <c r="E722" s="276">
        <f>ROUND(C168,0)</f>
        <v>39726109</v>
      </c>
      <c r="F722" s="276">
        <f>ROUND(C169,0)</f>
        <v>278047</v>
      </c>
      <c r="G722" s="276">
        <f>ROUND(C170,0)</f>
        <v>20192473</v>
      </c>
      <c r="H722" s="276">
        <f>ROUND(C171+C172,0)</f>
        <v>1246070</v>
      </c>
      <c r="I722" s="276">
        <f>ROUND(C175,0)</f>
        <v>12977916</v>
      </c>
      <c r="J722" s="276">
        <f>ROUND(C176,0)</f>
        <v>3060386</v>
      </c>
      <c r="K722" s="276">
        <f>ROUND(C179,0)</f>
        <v>2850699</v>
      </c>
      <c r="L722" s="276">
        <f>ROUND(C180,0)</f>
        <v>1093931</v>
      </c>
      <c r="M722" s="276">
        <f>ROUND(C183,0)</f>
        <v>309553</v>
      </c>
      <c r="N722" s="276">
        <f>ROUND(C184,0)</f>
        <v>6393505</v>
      </c>
      <c r="O722" s="276">
        <f>ROUND(C185,0)</f>
        <v>0</v>
      </c>
      <c r="P722" s="276">
        <f>ROUND(C188,0)</f>
        <v>7548798</v>
      </c>
      <c r="Q722" s="276">
        <f>ROUND(C189,0)</f>
        <v>0</v>
      </c>
      <c r="R722" s="276">
        <f>ROUND(B195,0)</f>
        <v>4913660</v>
      </c>
      <c r="S722" s="276">
        <f>ROUND(C195,0)</f>
        <v>0</v>
      </c>
      <c r="T722" s="276">
        <f>ROUND(D195,0)</f>
        <v>0</v>
      </c>
      <c r="U722" s="276">
        <f>ROUND(B196,0)</f>
        <v>14328875</v>
      </c>
      <c r="V722" s="276">
        <f>ROUND(C196,0)</f>
        <v>0</v>
      </c>
      <c r="W722" s="276">
        <f>ROUND(D196,0)</f>
        <v>610579</v>
      </c>
      <c r="X722" s="276">
        <f>ROUND(B197,0)</f>
        <v>336727253</v>
      </c>
      <c r="Y722" s="276">
        <f>ROUND(C197,0)</f>
        <v>2573404</v>
      </c>
      <c r="Z722" s="276">
        <f>ROUND(D197,0)</f>
        <v>3162476</v>
      </c>
      <c r="AA722" s="276">
        <f>ROUND(B198,0)</f>
        <v>130601438</v>
      </c>
      <c r="AB722" s="276">
        <f>ROUND(C198,0)</f>
        <v>855452</v>
      </c>
      <c r="AC722" s="276">
        <f>ROUND(D198,0)</f>
        <v>3960032</v>
      </c>
      <c r="AD722" s="276">
        <f>ROUND(B199,0)</f>
        <v>115064</v>
      </c>
      <c r="AE722" s="276">
        <f>ROUND(C199,0)</f>
        <v>0</v>
      </c>
      <c r="AF722" s="276">
        <f>ROUND(D199,0)</f>
        <v>64455</v>
      </c>
      <c r="AG722" s="276">
        <f>ROUND(B200,0)</f>
        <v>286142022</v>
      </c>
      <c r="AH722" s="276">
        <f>ROUND(C200,0)</f>
        <v>20132336</v>
      </c>
      <c r="AI722" s="276">
        <f>ROUND(D200,0)</f>
        <v>8795874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35848689</v>
      </c>
      <c r="AN722" s="276">
        <f>ROUND(C202,0)</f>
        <v>2671746</v>
      </c>
      <c r="AO722" s="276">
        <f>ROUND(D202,0)</f>
        <v>57719</v>
      </c>
      <c r="AP722" s="276">
        <f>ROUND(B203,0)</f>
        <v>14280147</v>
      </c>
      <c r="AQ722" s="276">
        <f>ROUND(C203,0)</f>
        <v>37090972</v>
      </c>
      <c r="AR722" s="276">
        <f>ROUND(D203,0)</f>
        <v>25680032</v>
      </c>
      <c r="AS722" s="276"/>
      <c r="AT722" s="276"/>
      <c r="AU722" s="276"/>
      <c r="AV722" s="276">
        <f>ROUND(B209,0)</f>
        <v>11773384</v>
      </c>
      <c r="AW722" s="276">
        <f>ROUND(C209,0)</f>
        <v>380225</v>
      </c>
      <c r="AX722" s="276">
        <f>ROUND(D209,0)</f>
        <v>610579</v>
      </c>
      <c r="AY722" s="276">
        <f>ROUND(B210,0)</f>
        <v>162935108</v>
      </c>
      <c r="AZ722" s="276">
        <f>ROUND(C210,0)</f>
        <v>11349464</v>
      </c>
      <c r="BA722" s="276">
        <f>ROUND(D210,0)</f>
        <v>3162476</v>
      </c>
      <c r="BB722" s="276">
        <f>ROUND(B211,0)</f>
        <v>91581183</v>
      </c>
      <c r="BC722" s="276">
        <f>ROUND(C211,0)</f>
        <v>4367545</v>
      </c>
      <c r="BD722" s="276">
        <f>ROUND(D211,0)</f>
        <v>3960032</v>
      </c>
      <c r="BE722" s="276">
        <f>ROUND(B212,0)</f>
        <v>109954</v>
      </c>
      <c r="BF722" s="276">
        <f>ROUND(C212,0)</f>
        <v>2307</v>
      </c>
      <c r="BG722" s="276">
        <f>ROUND(D212,0)</f>
        <v>64455</v>
      </c>
      <c r="BH722" s="276">
        <f>ROUND(B213,0)</f>
        <v>218133524</v>
      </c>
      <c r="BI722" s="276">
        <f>ROUND(C213,0)</f>
        <v>17558457</v>
      </c>
      <c r="BJ722" s="276">
        <f>ROUND(D213,0)</f>
        <v>8759794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19383055</v>
      </c>
      <c r="BO722" s="276">
        <f>ROUND(C215,0)</f>
        <v>2161929</v>
      </c>
      <c r="BP722" s="276">
        <f>ROUND(D215,0)</f>
        <v>57719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623380137</v>
      </c>
      <c r="BU722" s="276">
        <f>ROUND(C224,0)</f>
        <v>128203457</v>
      </c>
      <c r="BV722" s="276">
        <f>ROUND(C225,0)</f>
        <v>11267736</v>
      </c>
      <c r="BW722" s="276">
        <f>ROUND(C226,0)</f>
        <v>6685165</v>
      </c>
      <c r="BX722" s="276">
        <f>ROUND(C227,0)</f>
        <v>507773367</v>
      </c>
      <c r="BY722" s="276">
        <f>ROUND(C228,0)</f>
        <v>1127151</v>
      </c>
      <c r="BZ722" s="276">
        <f>ROUND(C231,0)</f>
        <v>3664</v>
      </c>
      <c r="CA722" s="276">
        <f>ROUND(C233,0)</f>
        <v>3255441</v>
      </c>
      <c r="CB722" s="276">
        <f>ROUND(C234,0)</f>
        <v>4594323</v>
      </c>
      <c r="CC722" s="276">
        <f>ROUND(C238+C239,0)</f>
        <v>4424509</v>
      </c>
      <c r="CD722" s="276">
        <f>D221</f>
        <v>28868562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164*2019*A</v>
      </c>
      <c r="B726" s="276">
        <f>ROUND(C111,0)</f>
        <v>15200</v>
      </c>
      <c r="C726" s="276">
        <f>ROUND(C112,0)</f>
        <v>0</v>
      </c>
      <c r="D726" s="276">
        <f>ROUND(C113,0)</f>
        <v>0</v>
      </c>
      <c r="E726" s="276">
        <f>ROUND(C114,0)</f>
        <v>4755</v>
      </c>
      <c r="F726" s="276">
        <f>ROUND(D111,0)</f>
        <v>72588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20</v>
      </c>
      <c r="K726" s="276">
        <f>ROUND(C117,0)</f>
        <v>31</v>
      </c>
      <c r="L726" s="276">
        <f>ROUND(C118,0)</f>
        <v>141</v>
      </c>
      <c r="M726" s="276">
        <f>ROUND(C119,0)</f>
        <v>1</v>
      </c>
      <c r="N726" s="276">
        <f>ROUND(C120,0)</f>
        <v>45</v>
      </c>
      <c r="O726" s="276">
        <f>ROUND(C121,0)</f>
        <v>14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42</v>
      </c>
      <c r="V726" s="276">
        <f>ROUND(C128,0)</f>
        <v>318</v>
      </c>
      <c r="W726" s="276">
        <f>ROUND(C129,0)</f>
        <v>0</v>
      </c>
      <c r="X726" s="276">
        <f>ROUND(B138,0)</f>
        <v>5964</v>
      </c>
      <c r="Y726" s="276">
        <f>ROUND(B139,0)</f>
        <v>34998</v>
      </c>
      <c r="Z726" s="276">
        <f>ROUND(B140,0)</f>
        <v>0</v>
      </c>
      <c r="AA726" s="276">
        <f>ROUND(B141,0)</f>
        <v>395420204</v>
      </c>
      <c r="AB726" s="276">
        <f>ROUND(B142,0)</f>
        <v>439251836</v>
      </c>
      <c r="AC726" s="276">
        <f>ROUND(C138,0)</f>
        <v>2454</v>
      </c>
      <c r="AD726" s="276">
        <f>ROUND(C139,0)</f>
        <v>9473</v>
      </c>
      <c r="AE726" s="276">
        <f>ROUND(C140,0)</f>
        <v>0</v>
      </c>
      <c r="AF726" s="276">
        <f>ROUND(C141,0)</f>
        <v>88330621</v>
      </c>
      <c r="AG726" s="276">
        <f>ROUND(C142,0)</f>
        <v>95300282</v>
      </c>
      <c r="AH726" s="276">
        <f>ROUND(D138,0)</f>
        <v>6782</v>
      </c>
      <c r="AI726" s="276">
        <f>ROUND(D139,0)</f>
        <v>28117</v>
      </c>
      <c r="AJ726" s="276">
        <f>ROUND(D140,0)</f>
        <v>0</v>
      </c>
      <c r="AK726" s="276">
        <f>ROUND(D141,0)</f>
        <v>353120993</v>
      </c>
      <c r="AL726" s="276">
        <f>ROUND(D142,0)</f>
        <v>646504193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6297559</v>
      </c>
      <c r="BR726" s="276">
        <f>ROUND(C157,0)</f>
        <v>14444322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164*2019*A</v>
      </c>
      <c r="B730" s="276">
        <f>ROUND(C250,0)</f>
        <v>57371794</v>
      </c>
      <c r="C730" s="276">
        <f>ROUND(C251,0)</f>
        <v>0</v>
      </c>
      <c r="D730" s="276">
        <f>ROUND(C252,0)</f>
        <v>296057494</v>
      </c>
      <c r="E730" s="276">
        <f>ROUND(C253,0)</f>
        <v>200810371</v>
      </c>
      <c r="F730" s="276">
        <f>ROUND(C254,0)</f>
        <v>1893459</v>
      </c>
      <c r="G730" s="276">
        <f>ROUND(C255,0)</f>
        <v>10073159</v>
      </c>
      <c r="H730" s="276">
        <f>ROUND(C256,0)</f>
        <v>1362459</v>
      </c>
      <c r="I730" s="276">
        <f>ROUND(C257,0)</f>
        <v>9363518</v>
      </c>
      <c r="J730" s="276">
        <f>ROUND(C258,0)</f>
        <v>7916436</v>
      </c>
      <c r="K730" s="276">
        <f>ROUND(C259,0)</f>
        <v>0</v>
      </c>
      <c r="L730" s="276">
        <f>ROUND(C262,0)</f>
        <v>153403236</v>
      </c>
      <c r="M730" s="276">
        <f>ROUND(C263,0)</f>
        <v>0</v>
      </c>
      <c r="N730" s="276">
        <f>ROUND(C264,0)</f>
        <v>0</v>
      </c>
      <c r="O730" s="276">
        <f>ROUND(C267,0)</f>
        <v>4913660</v>
      </c>
      <c r="P730" s="276">
        <f>ROUND(C268,0)</f>
        <v>13718296</v>
      </c>
      <c r="Q730" s="276">
        <f>ROUND(C269,0)</f>
        <v>336138182</v>
      </c>
      <c r="R730" s="276">
        <f>ROUND(C270,0)</f>
        <v>127496857</v>
      </c>
      <c r="S730" s="276">
        <f>ROUND(C271,0)</f>
        <v>50609</v>
      </c>
      <c r="T730" s="276">
        <f>ROUND(C272,0)</f>
        <v>297478484</v>
      </c>
      <c r="U730" s="276">
        <f>ROUND(C273,0)</f>
        <v>38462716</v>
      </c>
      <c r="V730" s="276">
        <f>ROUND(C274,0)</f>
        <v>25691087</v>
      </c>
      <c r="W730" s="276">
        <f>ROUND(C275,0)</f>
        <v>0</v>
      </c>
      <c r="X730" s="276">
        <f>ROUND(C276,0)</f>
        <v>523121081</v>
      </c>
      <c r="Y730" s="276">
        <f>ROUND(C279,0)</f>
        <v>0</v>
      </c>
      <c r="Z730" s="276">
        <f>ROUND(C280,0)</f>
        <v>0</v>
      </c>
      <c r="AA730" s="276">
        <f>ROUND(C281,0)</f>
        <v>10817285</v>
      </c>
      <c r="AB730" s="276">
        <f>ROUND(C282,0)</f>
        <v>8456874</v>
      </c>
      <c r="AC730" s="276">
        <f>ROUND(C286,0)</f>
        <v>25176110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28509693</v>
      </c>
      <c r="AI730" s="276">
        <f>ROUND(C306,0)</f>
        <v>53362707</v>
      </c>
      <c r="AJ730" s="276">
        <f>ROUND(C307,0)</f>
        <v>679662</v>
      </c>
      <c r="AK730" s="276">
        <f>ROUND(C308,0)</f>
        <v>0</v>
      </c>
      <c r="AL730" s="276">
        <f>ROUND(C309,0)</f>
        <v>4678160</v>
      </c>
      <c r="AM730" s="276">
        <f>ROUND(C310,0)</f>
        <v>0</v>
      </c>
      <c r="AN730" s="276">
        <f>ROUND(C311,0)</f>
        <v>0</v>
      </c>
      <c r="AO730" s="276">
        <f>ROUND(C312,0)</f>
        <v>1373513</v>
      </c>
      <c r="AP730" s="276">
        <f>ROUND(C313,0)</f>
        <v>14218678</v>
      </c>
      <c r="AQ730" s="276">
        <f>ROUND(C316,0)</f>
        <v>0</v>
      </c>
      <c r="AR730" s="276">
        <f>ROUND(C317,0)</f>
        <v>1544932</v>
      </c>
      <c r="AS730" s="276">
        <f>ROUND(C318,0)</f>
        <v>175504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5929126</v>
      </c>
      <c r="AX730" s="276">
        <f>ROUND(C325,0)</f>
        <v>181643866</v>
      </c>
      <c r="AY730" s="276">
        <f>ROUND(C326,0)</f>
        <v>0</v>
      </c>
      <c r="AZ730" s="276">
        <f>ROUND(C327,0)</f>
        <v>8499169</v>
      </c>
      <c r="BA730" s="276">
        <f>ROUND(C328,0)</f>
        <v>0</v>
      </c>
      <c r="BB730" s="276">
        <f>ROUND(C332,0)</f>
        <v>415513931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3832.32</v>
      </c>
      <c r="BJ730" s="276">
        <f>ROUND(C359,0)</f>
        <v>836871818</v>
      </c>
      <c r="BK730" s="276">
        <f>ROUND(C360,0)</f>
        <v>1181056312</v>
      </c>
      <c r="BL730" s="276">
        <f>ROUND(C364,0)</f>
        <v>1278437013</v>
      </c>
      <c r="BM730" s="276">
        <f>ROUND(C365,0)</f>
        <v>7849763</v>
      </c>
      <c r="BN730" s="276">
        <f>ROUND(C366,0)</f>
        <v>4424511</v>
      </c>
      <c r="BO730" s="276">
        <f>ROUND(C370,0)</f>
        <v>42767749</v>
      </c>
      <c r="BP730" s="276">
        <f>ROUND(C371,0)</f>
        <v>26804430</v>
      </c>
      <c r="BQ730" s="276">
        <f>ROUND(C378,0)</f>
        <v>399309860</v>
      </c>
      <c r="BR730" s="276">
        <f>ROUND(C379,0)</f>
        <v>88858384</v>
      </c>
      <c r="BS730" s="276">
        <f>ROUND(C380,0)</f>
        <v>17527437</v>
      </c>
      <c r="BT730" s="276">
        <f>ROUND(C381,0)</f>
        <v>102262774</v>
      </c>
      <c r="BU730" s="276">
        <f>ROUND(C382,0)</f>
        <v>6359049</v>
      </c>
      <c r="BV730" s="276">
        <f>ROUND(C383,0)</f>
        <v>56336509</v>
      </c>
      <c r="BW730" s="276">
        <f>ROUND(C384,0)</f>
        <v>35399142</v>
      </c>
      <c r="BX730" s="276">
        <f>ROUND(C385,0)</f>
        <v>16038302</v>
      </c>
      <c r="BY730" s="276">
        <f>ROUND(C386,0)</f>
        <v>3944630</v>
      </c>
      <c r="BZ730" s="276">
        <f>ROUND(C387,0)</f>
        <v>6703058</v>
      </c>
      <c r="CA730" s="276">
        <f>ROUND(C388,0)</f>
        <v>7548798</v>
      </c>
      <c r="CB730" s="276">
        <f>C363</f>
        <v>28868562</v>
      </c>
      <c r="CC730" s="276">
        <f>ROUND(C389,0)</f>
        <v>9106041</v>
      </c>
      <c r="CD730" s="276">
        <f>ROUND(C392,0)</f>
        <v>6742323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164*2019*6010*A</v>
      </c>
      <c r="B734" s="276">
        <f>ROUND(C59,0)</f>
        <v>4999</v>
      </c>
      <c r="C734" s="276">
        <f>ROUND(C60,2)</f>
        <v>146.19</v>
      </c>
      <c r="D734" s="276">
        <f>ROUND(C61,0)</f>
        <v>15690094</v>
      </c>
      <c r="E734" s="276">
        <f>ROUND(C62,0)</f>
        <v>3249232</v>
      </c>
      <c r="F734" s="276">
        <f>ROUND(C63,0)</f>
        <v>674150</v>
      </c>
      <c r="G734" s="276">
        <f>ROUND(C64,0)</f>
        <v>1576562</v>
      </c>
      <c r="H734" s="276">
        <f>ROUND(C65,0)</f>
        <v>6430</v>
      </c>
      <c r="I734" s="276">
        <f>ROUND(C66,0)</f>
        <v>480331</v>
      </c>
      <c r="J734" s="276">
        <f>ROUND(C67,0)</f>
        <v>390111</v>
      </c>
      <c r="K734" s="276">
        <f>ROUND(C68,0)</f>
        <v>0</v>
      </c>
      <c r="L734" s="276">
        <f>ROUND(C69,0)</f>
        <v>102874</v>
      </c>
      <c r="M734" s="276">
        <f>ROUND(C70,0)</f>
        <v>37201</v>
      </c>
      <c r="N734" s="276">
        <f>ROUND(C75,0)</f>
        <v>0</v>
      </c>
      <c r="O734" s="276">
        <f>ROUND(C73,0)</f>
        <v>79160790</v>
      </c>
      <c r="P734" s="276">
        <f>IF(C76&gt;0,ROUND(C76,0),0)</f>
        <v>31983</v>
      </c>
      <c r="Q734" s="276">
        <f>IF(C77&gt;0,ROUND(C77,0),0)</f>
        <v>10112</v>
      </c>
      <c r="R734" s="276">
        <f>IF(C78&gt;0,ROUND(C78,0),0)</f>
        <v>3496</v>
      </c>
      <c r="S734" s="276">
        <f>IF(C79&gt;0,ROUND(C79,0),0)</f>
        <v>186430</v>
      </c>
      <c r="T734" s="276">
        <f>IF(C80&gt;0,ROUND(C80,2),0)</f>
        <v>102.07</v>
      </c>
      <c r="U734" s="276"/>
      <c r="V734" s="276"/>
      <c r="W734" s="276"/>
      <c r="X734" s="276"/>
      <c r="Y734" s="276">
        <f>IF(M668&lt;&gt;0,ROUND(M668,0),0)</f>
        <v>3797841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164*2019*6030*A</v>
      </c>
      <c r="B735" s="276">
        <f>ROUND(D59,0)</f>
        <v>9259</v>
      </c>
      <c r="C735" s="278">
        <f>ROUND(D60,2)</f>
        <v>69.81</v>
      </c>
      <c r="D735" s="276">
        <f>ROUND(D61,0)</f>
        <v>6889482</v>
      </c>
      <c r="E735" s="276">
        <f>ROUND(D62,0)</f>
        <v>1586258</v>
      </c>
      <c r="F735" s="276">
        <f>ROUND(D63,0)</f>
        <v>0</v>
      </c>
      <c r="G735" s="276">
        <f>ROUND(D64,0)</f>
        <v>566860</v>
      </c>
      <c r="H735" s="276">
        <f>ROUND(D65,0)</f>
        <v>0</v>
      </c>
      <c r="I735" s="276">
        <f>ROUND(D66,0)</f>
        <v>351625</v>
      </c>
      <c r="J735" s="276">
        <f>ROUND(D67,0)</f>
        <v>1571370</v>
      </c>
      <c r="K735" s="276">
        <f>ROUND(D68,0)</f>
        <v>0</v>
      </c>
      <c r="L735" s="276">
        <f>ROUND(D69,0)</f>
        <v>3065</v>
      </c>
      <c r="M735" s="276">
        <f>ROUND(D70,0)</f>
        <v>0</v>
      </c>
      <c r="N735" s="276">
        <f>ROUND(D75,0)</f>
        <v>0</v>
      </c>
      <c r="O735" s="276">
        <f>ROUND(D73,0)</f>
        <v>45668015</v>
      </c>
      <c r="P735" s="276">
        <f>IF(D76&gt;0,ROUND(D76,0),0)</f>
        <v>24449</v>
      </c>
      <c r="Q735" s="276">
        <f>IF(D77&gt;0,ROUND(D77,0),0)</f>
        <v>27151</v>
      </c>
      <c r="R735" s="276">
        <f>IF(D78&gt;0,ROUND(D78,0),0)</f>
        <v>2672</v>
      </c>
      <c r="S735" s="276">
        <f>IF(D79&gt;0,ROUND(D79,0),0)</f>
        <v>205486</v>
      </c>
      <c r="T735" s="278">
        <f>IF(D80&gt;0,ROUND(D80,2),0)</f>
        <v>45.22</v>
      </c>
      <c r="U735" s="276"/>
      <c r="V735" s="277"/>
      <c r="W735" s="276"/>
      <c r="X735" s="276"/>
      <c r="Y735" s="276">
        <f t="shared" ref="Y735:Y779" si="21">IF(M669&lt;&gt;0,ROUND(M669,0),0)</f>
        <v>2104249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164*2019*6070*A</v>
      </c>
      <c r="B736" s="276">
        <f>ROUND(E59,0)</f>
        <v>36637</v>
      </c>
      <c r="C736" s="278">
        <f>ROUND(E60,2)</f>
        <v>265.56</v>
      </c>
      <c r="D736" s="276">
        <f>ROUND(E61,0)</f>
        <v>22633351</v>
      </c>
      <c r="E736" s="276">
        <f>ROUND(E62,0)</f>
        <v>4667201</v>
      </c>
      <c r="F736" s="276">
        <f>ROUND(E63,0)</f>
        <v>0</v>
      </c>
      <c r="G736" s="276">
        <f>ROUND(E64,0)</f>
        <v>1781369</v>
      </c>
      <c r="H736" s="276">
        <f>ROUND(E65,0)</f>
        <v>0</v>
      </c>
      <c r="I736" s="276">
        <f>ROUND(E66,0)</f>
        <v>859918</v>
      </c>
      <c r="J736" s="276">
        <f>ROUND(E67,0)</f>
        <v>2289328</v>
      </c>
      <c r="K736" s="276">
        <f>ROUND(E68,0)</f>
        <v>0</v>
      </c>
      <c r="L736" s="276">
        <f>ROUND(E69,0)</f>
        <v>11971</v>
      </c>
      <c r="M736" s="276">
        <f>ROUND(E70,0)</f>
        <v>697</v>
      </c>
      <c r="N736" s="276">
        <f>ROUND(E75,0)</f>
        <v>0</v>
      </c>
      <c r="O736" s="276">
        <f>ROUND(E73,0)</f>
        <v>123594288</v>
      </c>
      <c r="P736" s="276">
        <f>IF(E76&gt;0,ROUND(E76,0),0)</f>
        <v>112438</v>
      </c>
      <c r="Q736" s="276">
        <f>IF(E77&gt;0,ROUND(E77,0),0)</f>
        <v>110415</v>
      </c>
      <c r="R736" s="276">
        <f>IF(E78&gt;0,ROUND(E78,0),0)</f>
        <v>12290</v>
      </c>
      <c r="S736" s="276">
        <f>IF(E79&gt;0,ROUND(E79,0),0)</f>
        <v>568277</v>
      </c>
      <c r="T736" s="278">
        <f>IF(E80&gt;0,ROUND(E80,2),0)</f>
        <v>162.26</v>
      </c>
      <c r="U736" s="276"/>
      <c r="V736" s="277"/>
      <c r="W736" s="276"/>
      <c r="X736" s="276"/>
      <c r="Y736" s="276">
        <f t="shared" si="21"/>
        <v>7896447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164*2019*6100*A</v>
      </c>
      <c r="B737" s="276">
        <f>ROUND(F59,0)</f>
        <v>0</v>
      </c>
      <c r="C737" s="278">
        <f>ROUND(F60,2)</f>
        <v>0.28000000000000003</v>
      </c>
      <c r="D737" s="276">
        <f>ROUND(F61,0)</f>
        <v>36267</v>
      </c>
      <c r="E737" s="276">
        <f>ROUND(F62,0)</f>
        <v>12624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151</v>
      </c>
      <c r="Q737" s="276">
        <f>IF(F77&gt;0,ROUND(F77,0),0)</f>
        <v>0</v>
      </c>
      <c r="R737" s="276">
        <f>IF(F78&gt;0,ROUND(F78,0),0)</f>
        <v>17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8371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164*2019*6120*A</v>
      </c>
      <c r="B738" s="276">
        <f>ROUND(G59,0)</f>
        <v>3634</v>
      </c>
      <c r="C738" s="278">
        <f>ROUND(G60,2)</f>
        <v>18.760000000000002</v>
      </c>
      <c r="D738" s="276">
        <f>ROUND(G61,0)</f>
        <v>1813272</v>
      </c>
      <c r="E738" s="276">
        <f>ROUND(G62,0)</f>
        <v>461337</v>
      </c>
      <c r="F738" s="276">
        <f>ROUND(G63,0)</f>
        <v>0</v>
      </c>
      <c r="G738" s="276">
        <f>ROUND(G64,0)</f>
        <v>78512</v>
      </c>
      <c r="H738" s="276">
        <f>ROUND(G65,0)</f>
        <v>0</v>
      </c>
      <c r="I738" s="276">
        <f>ROUND(G66,0)</f>
        <v>27585</v>
      </c>
      <c r="J738" s="276">
        <f>ROUND(G67,0)</f>
        <v>102183</v>
      </c>
      <c r="K738" s="276">
        <f>ROUND(G68,0)</f>
        <v>0</v>
      </c>
      <c r="L738" s="276">
        <f>ROUND(G69,0)</f>
        <v>11577</v>
      </c>
      <c r="M738" s="276">
        <f>ROUND(G70,0)</f>
        <v>0</v>
      </c>
      <c r="N738" s="276">
        <f>ROUND(G75,0)</f>
        <v>0</v>
      </c>
      <c r="O738" s="276">
        <f>ROUND(G73,0)</f>
        <v>15003585</v>
      </c>
      <c r="P738" s="276">
        <f>IF(G76&gt;0,ROUND(G76,0),0)</f>
        <v>8820</v>
      </c>
      <c r="Q738" s="276">
        <f>IF(G77&gt;0,ROUND(G77,0),0)</f>
        <v>10762</v>
      </c>
      <c r="R738" s="276">
        <f>IF(G78&gt;0,ROUND(G78,0),0)</f>
        <v>964</v>
      </c>
      <c r="S738" s="276">
        <f>IF(G79&gt;0,ROUND(G79,0),0)</f>
        <v>36837</v>
      </c>
      <c r="T738" s="278">
        <f>IF(G80&gt;0,ROUND(G80,2),0)</f>
        <v>11.23</v>
      </c>
      <c r="U738" s="276"/>
      <c r="V738" s="277"/>
      <c r="W738" s="276"/>
      <c r="X738" s="276"/>
      <c r="Y738" s="276">
        <f t="shared" si="21"/>
        <v>592713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164*2019*6140*A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164*2019*6150*A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164*2019*6170*A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164*2019*6200*A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164*2019*6210*A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164*2019*6330*A</v>
      </c>
      <c r="B744" s="276">
        <f>ROUND(M59,0)</f>
        <v>4219</v>
      </c>
      <c r="C744" s="278">
        <f>ROUND(M60,2)</f>
        <v>48.33</v>
      </c>
      <c r="D744" s="276">
        <f>ROUND(M61,0)</f>
        <v>4857455</v>
      </c>
      <c r="E744" s="276">
        <f>ROUND(M62,0)</f>
        <v>1157446</v>
      </c>
      <c r="F744" s="276">
        <f>ROUND(M63,0)</f>
        <v>0</v>
      </c>
      <c r="G744" s="276">
        <f>ROUND(M64,0)</f>
        <v>139379</v>
      </c>
      <c r="H744" s="276">
        <f>ROUND(M65,0)</f>
        <v>9444</v>
      </c>
      <c r="I744" s="276">
        <f>ROUND(M66,0)</f>
        <v>175868</v>
      </c>
      <c r="J744" s="276">
        <f>ROUND(M67,0)</f>
        <v>99680</v>
      </c>
      <c r="K744" s="276">
        <f>ROUND(M68,0)</f>
        <v>90173</v>
      </c>
      <c r="L744" s="276">
        <f>ROUND(M69,0)</f>
        <v>44048</v>
      </c>
      <c r="M744" s="276">
        <f>ROUND(M70,0)</f>
        <v>356431</v>
      </c>
      <c r="N744" s="276">
        <f>ROUND(M75,0)</f>
        <v>6740537</v>
      </c>
      <c r="O744" s="276">
        <f>ROUND(M73,0)</f>
        <v>6491360</v>
      </c>
      <c r="P744" s="276">
        <f>IF(M76&gt;0,ROUND(M76,0),0)</f>
        <v>20520</v>
      </c>
      <c r="Q744" s="276">
        <f>IF(M77&gt;0,ROUND(M77,0),0)</f>
        <v>6920</v>
      </c>
      <c r="R744" s="276">
        <f>IF(M78&gt;0,ROUND(M78,0),0)</f>
        <v>2243</v>
      </c>
      <c r="S744" s="276">
        <f>IF(M79&gt;0,ROUND(M79,0),0)</f>
        <v>30145</v>
      </c>
      <c r="T744" s="278">
        <f>IF(M80&gt;0,ROUND(M80,2),0)</f>
        <v>18.670000000000002</v>
      </c>
      <c r="U744" s="276"/>
      <c r="V744" s="277"/>
      <c r="W744" s="276"/>
      <c r="X744" s="276"/>
      <c r="Y744" s="276">
        <f t="shared" si="21"/>
        <v>1646340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164*2019*6400*A</v>
      </c>
      <c r="B745" s="276">
        <f>ROUND(N59,0)</f>
        <v>0</v>
      </c>
      <c r="C745" s="278">
        <f>ROUND(N60,2)</f>
        <v>47.8</v>
      </c>
      <c r="D745" s="276">
        <f>ROUND(N61,0)</f>
        <v>14180455</v>
      </c>
      <c r="E745" s="276">
        <f>ROUND(N62,0)</f>
        <v>2597761</v>
      </c>
      <c r="F745" s="276">
        <f>ROUND(N63,0)</f>
        <v>684792</v>
      </c>
      <c r="G745" s="276">
        <f>ROUND(N64,0)</f>
        <v>11380</v>
      </c>
      <c r="H745" s="276">
        <f>ROUND(N65,0)</f>
        <v>47847</v>
      </c>
      <c r="I745" s="276">
        <f>ROUND(N66,0)</f>
        <v>8526</v>
      </c>
      <c r="J745" s="276">
        <f>ROUND(N67,0)</f>
        <v>6471</v>
      </c>
      <c r="K745" s="276">
        <f>ROUND(N68,0)</f>
        <v>0</v>
      </c>
      <c r="L745" s="276">
        <f>ROUND(N69,0)</f>
        <v>211424</v>
      </c>
      <c r="M745" s="276">
        <f>ROUND(N70,0)</f>
        <v>281391</v>
      </c>
      <c r="N745" s="276">
        <f>ROUND(N75,0)</f>
        <v>17385946</v>
      </c>
      <c r="O745" s="276">
        <f>ROUND(N73,0)</f>
        <v>16216475</v>
      </c>
      <c r="P745" s="276">
        <f>IF(N76&gt;0,ROUND(N76,0),0)</f>
        <v>5112</v>
      </c>
      <c r="Q745" s="276">
        <f>IF(N77&gt;0,ROUND(N77,0),0)</f>
        <v>0</v>
      </c>
      <c r="R745" s="276">
        <f>IF(N78&gt;0,ROUND(N78,0),0)</f>
        <v>559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2130883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164*2019*7010*A</v>
      </c>
      <c r="B746" s="276">
        <f>ROUND(O59,0)</f>
        <v>4673</v>
      </c>
      <c r="C746" s="278">
        <f>ROUND(O60,2)</f>
        <v>186.39</v>
      </c>
      <c r="D746" s="276">
        <f>ROUND(O61,0)</f>
        <v>19406368</v>
      </c>
      <c r="E746" s="276">
        <f>ROUND(O62,0)</f>
        <v>4705693</v>
      </c>
      <c r="F746" s="276">
        <f>ROUND(O63,0)</f>
        <v>18592</v>
      </c>
      <c r="G746" s="276">
        <f>ROUND(O64,0)</f>
        <v>1792933</v>
      </c>
      <c r="H746" s="276">
        <f>ROUND(O65,0)</f>
        <v>1433</v>
      </c>
      <c r="I746" s="276">
        <f>ROUND(O66,0)</f>
        <v>271753</v>
      </c>
      <c r="J746" s="276">
        <f>ROUND(O67,0)</f>
        <v>847708</v>
      </c>
      <c r="K746" s="276">
        <f>ROUND(O68,0)</f>
        <v>0</v>
      </c>
      <c r="L746" s="276">
        <f>ROUND(O69,0)</f>
        <v>70700</v>
      </c>
      <c r="M746" s="276">
        <f>ROUND(O70,0)</f>
        <v>22352</v>
      </c>
      <c r="N746" s="276">
        <f>ROUND(O75,0)</f>
        <v>114286170</v>
      </c>
      <c r="O746" s="276">
        <f>ROUND(O73,0)</f>
        <v>109886639</v>
      </c>
      <c r="P746" s="276">
        <f>IF(O76&gt;0,ROUND(O76,0),0)</f>
        <v>54399</v>
      </c>
      <c r="Q746" s="276">
        <f>IF(O77&gt;0,ROUND(O77,0),0)</f>
        <v>35344</v>
      </c>
      <c r="R746" s="276">
        <f>IF(O78&gt;0,ROUND(O78,0),0)</f>
        <v>5946</v>
      </c>
      <c r="S746" s="276">
        <f>IF(O79&gt;0,ROUND(O79,0),0)</f>
        <v>349172</v>
      </c>
      <c r="T746" s="278">
        <f>IF(O80&gt;0,ROUND(O80,2),0)</f>
        <v>132.69999999999999</v>
      </c>
      <c r="U746" s="276"/>
      <c r="V746" s="277"/>
      <c r="W746" s="276"/>
      <c r="X746" s="276"/>
      <c r="Y746" s="276">
        <f t="shared" si="21"/>
        <v>10559553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164*2019*7020*A</v>
      </c>
      <c r="B747" s="276">
        <f>ROUND(P59,0)</f>
        <v>843673</v>
      </c>
      <c r="C747" s="278">
        <f>ROUND(P60,2)</f>
        <v>113.59</v>
      </c>
      <c r="D747" s="276">
        <f>ROUND(P61,0)</f>
        <v>10356864</v>
      </c>
      <c r="E747" s="276">
        <f>ROUND(P62,0)</f>
        <v>2318954</v>
      </c>
      <c r="F747" s="276">
        <f>ROUND(P63,0)</f>
        <v>3574</v>
      </c>
      <c r="G747" s="276">
        <f>ROUND(P64,0)</f>
        <v>37179393</v>
      </c>
      <c r="H747" s="276">
        <f>ROUND(P65,0)</f>
        <v>1193</v>
      </c>
      <c r="I747" s="276">
        <f>ROUND(P66,0)</f>
        <v>2248252</v>
      </c>
      <c r="J747" s="276">
        <f>ROUND(P67,0)</f>
        <v>2840478</v>
      </c>
      <c r="K747" s="276">
        <f>ROUND(P68,0)</f>
        <v>120629</v>
      </c>
      <c r="L747" s="276">
        <f>ROUND(P69,0)</f>
        <v>21542</v>
      </c>
      <c r="M747" s="276">
        <f>ROUND(P70,0)</f>
        <v>0</v>
      </c>
      <c r="N747" s="276">
        <f>ROUND(P75,0)</f>
        <v>294683940</v>
      </c>
      <c r="O747" s="276">
        <f>ROUND(P73,0)</f>
        <v>104360103</v>
      </c>
      <c r="P747" s="276">
        <f>IF(P76&gt;0,ROUND(P76,0),0)</f>
        <v>74685</v>
      </c>
      <c r="Q747" s="276">
        <f>IF(P77&gt;0,ROUND(P77,0),0)</f>
        <v>0</v>
      </c>
      <c r="R747" s="276">
        <f>IF(P78&gt;0,ROUND(P78,0),0)</f>
        <v>8163</v>
      </c>
      <c r="S747" s="276">
        <f>IF(P79&gt;0,ROUND(P79,0),0)</f>
        <v>172080</v>
      </c>
      <c r="T747" s="278">
        <f>IF(P80&gt;0,ROUND(P80,2),0)</f>
        <v>48.21</v>
      </c>
      <c r="U747" s="276"/>
      <c r="V747" s="277"/>
      <c r="W747" s="276"/>
      <c r="X747" s="276"/>
      <c r="Y747" s="276">
        <f t="shared" si="21"/>
        <v>21321697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164*2019*7030*A</v>
      </c>
      <c r="B748" s="276">
        <f>ROUND(Q59,0)</f>
        <v>2118794</v>
      </c>
      <c r="C748" s="278">
        <f>ROUND(Q60,2)</f>
        <v>66.08</v>
      </c>
      <c r="D748" s="276">
        <f>ROUND(Q61,0)</f>
        <v>6963294</v>
      </c>
      <c r="E748" s="276">
        <f>ROUND(Q62,0)</f>
        <v>1709648</v>
      </c>
      <c r="F748" s="276">
        <f>ROUND(Q63,0)</f>
        <v>0</v>
      </c>
      <c r="G748" s="276">
        <f>ROUND(Q64,0)</f>
        <v>320910</v>
      </c>
      <c r="H748" s="276">
        <f>ROUND(Q65,0)</f>
        <v>0</v>
      </c>
      <c r="I748" s="276">
        <f>ROUND(Q66,0)</f>
        <v>98558</v>
      </c>
      <c r="J748" s="276">
        <f>ROUND(Q67,0)</f>
        <v>105922</v>
      </c>
      <c r="K748" s="276">
        <f>ROUND(Q68,0)</f>
        <v>34</v>
      </c>
      <c r="L748" s="276">
        <f>ROUND(Q69,0)</f>
        <v>5268</v>
      </c>
      <c r="M748" s="276">
        <f>ROUND(Q70,0)</f>
        <v>750</v>
      </c>
      <c r="N748" s="276">
        <f>ROUND(Q75,0)</f>
        <v>27215729</v>
      </c>
      <c r="O748" s="276">
        <f>ROUND(Q73,0)</f>
        <v>6428609</v>
      </c>
      <c r="P748" s="276">
        <f>IF(Q76&gt;0,ROUND(Q76,0),0)</f>
        <v>5119</v>
      </c>
      <c r="Q748" s="276">
        <f>IF(Q77&gt;0,ROUND(Q77,0),0)</f>
        <v>0</v>
      </c>
      <c r="R748" s="276">
        <f>IF(Q78&gt;0,ROUND(Q78,0),0)</f>
        <v>559</v>
      </c>
      <c r="S748" s="276">
        <f>IF(Q79&gt;0,ROUND(Q79,0),0)</f>
        <v>0</v>
      </c>
      <c r="T748" s="278">
        <f>IF(Q80&gt;0,ROUND(Q80,2),0)</f>
        <v>47.93</v>
      </c>
      <c r="U748" s="276"/>
      <c r="V748" s="277"/>
      <c r="W748" s="276"/>
      <c r="X748" s="276"/>
      <c r="Y748" s="276">
        <f t="shared" si="21"/>
        <v>2636420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164*2019*7040*A</v>
      </c>
      <c r="B749" s="276">
        <f>ROUND(R59,0)</f>
        <v>1411799</v>
      </c>
      <c r="C749" s="278">
        <f>ROUND(R60,2)</f>
        <v>7.76</v>
      </c>
      <c r="D749" s="276">
        <f>ROUND(R61,0)</f>
        <v>663549</v>
      </c>
      <c r="E749" s="276">
        <f>ROUND(R62,0)</f>
        <v>122815</v>
      </c>
      <c r="F749" s="276">
        <f>ROUND(R63,0)</f>
        <v>0</v>
      </c>
      <c r="G749" s="276">
        <f>ROUND(R64,0)</f>
        <v>470105</v>
      </c>
      <c r="H749" s="276">
        <f>ROUND(R65,0)</f>
        <v>0</v>
      </c>
      <c r="I749" s="276">
        <f>ROUND(R66,0)</f>
        <v>21505</v>
      </c>
      <c r="J749" s="276">
        <f>ROUND(R67,0)</f>
        <v>157918</v>
      </c>
      <c r="K749" s="276">
        <f>ROUND(R68,0)</f>
        <v>0</v>
      </c>
      <c r="L749" s="276">
        <f>ROUND(R69,0)</f>
        <v>690</v>
      </c>
      <c r="M749" s="276">
        <f>ROUND(R70,0)</f>
        <v>0</v>
      </c>
      <c r="N749" s="276">
        <f>ROUND(R75,0)</f>
        <v>44358179</v>
      </c>
      <c r="O749" s="276">
        <f>ROUND(R73,0)</f>
        <v>13460492</v>
      </c>
      <c r="P749" s="276">
        <f>IF(R76&gt;0,ROUND(R76,0),0)</f>
        <v>651</v>
      </c>
      <c r="Q749" s="276">
        <f>IF(R77&gt;0,ROUND(R77,0),0)</f>
        <v>0</v>
      </c>
      <c r="R749" s="276">
        <f>IF(R78&gt;0,ROUND(R78,0),0)</f>
        <v>71</v>
      </c>
      <c r="S749" s="276">
        <f>IF(R79&gt;0,ROUND(R79,0),0)</f>
        <v>0</v>
      </c>
      <c r="T749" s="278">
        <f>IF(R80&gt;0,ROUND(R80,2),0)</f>
        <v>0.02</v>
      </c>
      <c r="U749" s="276"/>
      <c r="V749" s="277"/>
      <c r="W749" s="276"/>
      <c r="X749" s="276"/>
      <c r="Y749" s="276">
        <f t="shared" si="21"/>
        <v>2209749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164*2019*7050*A</v>
      </c>
      <c r="B750" s="276"/>
      <c r="C750" s="278">
        <f>ROUND(S60,2)</f>
        <v>21.14</v>
      </c>
      <c r="D750" s="276">
        <f>ROUND(S61,0)</f>
        <v>1229906</v>
      </c>
      <c r="E750" s="276">
        <f>ROUND(S62,0)</f>
        <v>346114</v>
      </c>
      <c r="F750" s="276">
        <f>ROUND(S63,0)</f>
        <v>0</v>
      </c>
      <c r="G750" s="276">
        <f>ROUND(S64,0)</f>
        <v>614383</v>
      </c>
      <c r="H750" s="276">
        <f>ROUND(S65,0)</f>
        <v>0</v>
      </c>
      <c r="I750" s="276">
        <f>ROUND(S66,0)</f>
        <v>478285</v>
      </c>
      <c r="J750" s="276">
        <f>ROUND(S67,0)</f>
        <v>411286</v>
      </c>
      <c r="K750" s="276">
        <f>ROUND(S68,0)</f>
        <v>0</v>
      </c>
      <c r="L750" s="276">
        <f>ROUND(S69,0)</f>
        <v>2201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10270</v>
      </c>
      <c r="Q750" s="276">
        <f>IF(S77&gt;0,ROUND(S77,0),0)</f>
        <v>0</v>
      </c>
      <c r="R750" s="276">
        <f>IF(S78&gt;0,ROUND(S78,0),0)</f>
        <v>1123</v>
      </c>
      <c r="S750" s="276">
        <f>IF(S79&gt;0,ROUND(S79,0),0)</f>
        <v>16943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584870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164*2019*7060*A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164*2019*7070*A</v>
      </c>
      <c r="B752" s="276">
        <f>ROUND(U59,0)</f>
        <v>863693</v>
      </c>
      <c r="C752" s="278">
        <f>ROUND(U60,2)</f>
        <v>74.86</v>
      </c>
      <c r="D752" s="276">
        <f>ROUND(U61,0)</f>
        <v>5373807</v>
      </c>
      <c r="E752" s="276">
        <f>ROUND(U62,0)</f>
        <v>1416340</v>
      </c>
      <c r="F752" s="276">
        <f>ROUND(U63,0)</f>
        <v>201890</v>
      </c>
      <c r="G752" s="276">
        <f>ROUND(U64,0)</f>
        <v>4757821</v>
      </c>
      <c r="H752" s="276">
        <f>ROUND(U65,0)</f>
        <v>168</v>
      </c>
      <c r="I752" s="276">
        <f>ROUND(U66,0)</f>
        <v>5063054</v>
      </c>
      <c r="J752" s="276">
        <f>ROUND(U67,0)</f>
        <v>554002</v>
      </c>
      <c r="K752" s="276">
        <f>ROUND(U68,0)</f>
        <v>69573</v>
      </c>
      <c r="L752" s="276">
        <f>ROUND(U69,0)</f>
        <v>20776</v>
      </c>
      <c r="M752" s="276">
        <f>ROUND(U70,0)</f>
        <v>375665</v>
      </c>
      <c r="N752" s="276">
        <f>ROUND(U75,0)</f>
        <v>115375189</v>
      </c>
      <c r="O752" s="276">
        <f>ROUND(U73,0)</f>
        <v>64167676</v>
      </c>
      <c r="P752" s="276">
        <f>IF(U76&gt;0,ROUND(U76,0),0)</f>
        <v>23647</v>
      </c>
      <c r="Q752" s="276">
        <f>IF(U77&gt;0,ROUND(U77,0),0)</f>
        <v>0</v>
      </c>
      <c r="R752" s="276">
        <f>IF(U78&gt;0,ROUND(U78,0),0)</f>
        <v>2585</v>
      </c>
      <c r="S752" s="276">
        <f>IF(U79&gt;0,ROUND(U79,0),0)</f>
        <v>2339</v>
      </c>
      <c r="T752" s="278">
        <f>IF(U80&gt;0,ROUND(U80,2),0)</f>
        <v>0.02</v>
      </c>
      <c r="U752" s="276"/>
      <c r="V752" s="277"/>
      <c r="W752" s="276"/>
      <c r="X752" s="276"/>
      <c r="Y752" s="276">
        <f t="shared" si="21"/>
        <v>7486490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164*2019*7110*A</v>
      </c>
      <c r="B753" s="276">
        <f>ROUND(V59,0)</f>
        <v>0</v>
      </c>
      <c r="C753" s="278">
        <f>ROUND(V60,2)</f>
        <v>2.29</v>
      </c>
      <c r="D753" s="276">
        <f>ROUND(V61,0)</f>
        <v>128506</v>
      </c>
      <c r="E753" s="276">
        <f>ROUND(V62,0)</f>
        <v>38204</v>
      </c>
      <c r="F753" s="276">
        <f>ROUND(V63,0)</f>
        <v>3325</v>
      </c>
      <c r="G753" s="276">
        <f>ROUND(V64,0)</f>
        <v>18388</v>
      </c>
      <c r="H753" s="276">
        <f>ROUND(V65,0)</f>
        <v>0</v>
      </c>
      <c r="I753" s="276">
        <f>ROUND(V66,0)</f>
        <v>3004</v>
      </c>
      <c r="J753" s="276">
        <f>ROUND(V67,0)</f>
        <v>12060</v>
      </c>
      <c r="K753" s="276">
        <f>ROUND(V68,0)</f>
        <v>0</v>
      </c>
      <c r="L753" s="276">
        <f>ROUND(V69,0)</f>
        <v>0</v>
      </c>
      <c r="M753" s="276">
        <f>ROUND(V70,0)</f>
        <v>4870</v>
      </c>
      <c r="N753" s="276">
        <f>ROUND(V75,0)</f>
        <v>1971717</v>
      </c>
      <c r="O753" s="276">
        <f>ROUND(V73,0)</f>
        <v>1454601</v>
      </c>
      <c r="P753" s="276">
        <f>IF(V76&gt;0,ROUND(V76,0),0)</f>
        <v>314</v>
      </c>
      <c r="Q753" s="276">
        <f>IF(V77&gt;0,ROUND(V77,0),0)</f>
        <v>0</v>
      </c>
      <c r="R753" s="276">
        <f>IF(V78&gt;0,ROUND(V78,0),0)</f>
        <v>34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120787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164*2019*7120*A</v>
      </c>
      <c r="B754" s="276">
        <f>ROUND(W59,0)</f>
        <v>33369</v>
      </c>
      <c r="C754" s="278">
        <f>ROUND(W60,2)</f>
        <v>6.61</v>
      </c>
      <c r="D754" s="276">
        <f>ROUND(W61,0)</f>
        <v>685023</v>
      </c>
      <c r="E754" s="276">
        <f>ROUND(W62,0)</f>
        <v>136425</v>
      </c>
      <c r="F754" s="276">
        <f>ROUND(W63,0)</f>
        <v>0</v>
      </c>
      <c r="G754" s="276">
        <f>ROUND(W64,0)</f>
        <v>205155</v>
      </c>
      <c r="H754" s="276">
        <f>ROUND(W65,0)</f>
        <v>0</v>
      </c>
      <c r="I754" s="276">
        <f>ROUND(W66,0)</f>
        <v>131974</v>
      </c>
      <c r="J754" s="276">
        <f>ROUND(W67,0)</f>
        <v>211315</v>
      </c>
      <c r="K754" s="276">
        <f>ROUND(W68,0)</f>
        <v>0</v>
      </c>
      <c r="L754" s="276">
        <f>ROUND(W69,0)</f>
        <v>2906</v>
      </c>
      <c r="M754" s="276">
        <f>ROUND(W70,0)</f>
        <v>0</v>
      </c>
      <c r="N754" s="276">
        <f>ROUND(W75,0)</f>
        <v>16189718</v>
      </c>
      <c r="O754" s="276">
        <f>ROUND(W73,0)</f>
        <v>5409570</v>
      </c>
      <c r="P754" s="276">
        <f>IF(W76&gt;0,ROUND(W76,0),0)</f>
        <v>6257</v>
      </c>
      <c r="Q754" s="276">
        <f>IF(W77&gt;0,ROUND(W77,0),0)</f>
        <v>0</v>
      </c>
      <c r="R754" s="276">
        <f>IF(W78&gt;0,ROUND(W78,0),0)</f>
        <v>684</v>
      </c>
      <c r="S754" s="276">
        <f>IF(W79&gt;0,ROUND(W79,0),0)</f>
        <v>21090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1058001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164*2019*7130*A</v>
      </c>
      <c r="B755" s="276">
        <f>ROUND(X59,0)</f>
        <v>143767</v>
      </c>
      <c r="C755" s="278">
        <f>ROUND(X60,2)</f>
        <v>14.36</v>
      </c>
      <c r="D755" s="276">
        <f>ROUND(X61,0)</f>
        <v>1358205</v>
      </c>
      <c r="E755" s="276">
        <f>ROUND(X62,0)</f>
        <v>273877</v>
      </c>
      <c r="F755" s="276">
        <f>ROUND(X63,0)</f>
        <v>0</v>
      </c>
      <c r="G755" s="276">
        <f>ROUND(X64,0)</f>
        <v>469844</v>
      </c>
      <c r="H755" s="276">
        <f>ROUND(X65,0)</f>
        <v>0</v>
      </c>
      <c r="I755" s="276">
        <f>ROUND(X66,0)</f>
        <v>479842</v>
      </c>
      <c r="J755" s="276">
        <f>ROUND(X67,0)</f>
        <v>118128</v>
      </c>
      <c r="K755" s="276">
        <f>ROUND(X68,0)</f>
        <v>0</v>
      </c>
      <c r="L755" s="276">
        <f>ROUND(X69,0)</f>
        <v>8326</v>
      </c>
      <c r="M755" s="276">
        <f>ROUND(X70,0)</f>
        <v>0</v>
      </c>
      <c r="N755" s="276">
        <f>ROUND(X75,0)</f>
        <v>67156512</v>
      </c>
      <c r="O755" s="276">
        <f>ROUND(X73,0)</f>
        <v>21049529</v>
      </c>
      <c r="P755" s="276">
        <f>IF(X76&gt;0,ROUND(X76,0),0)</f>
        <v>3166</v>
      </c>
      <c r="Q755" s="276">
        <f>IF(X77&gt;0,ROUND(X77,0),0)</f>
        <v>0</v>
      </c>
      <c r="R755" s="276">
        <f>IF(X78&gt;0,ROUND(X78,0),0)</f>
        <v>346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3443012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164*2019*7140*A</v>
      </c>
      <c r="B756" s="276">
        <f>ROUND(Y59,0)</f>
        <v>369557</v>
      </c>
      <c r="C756" s="278">
        <f>ROUND(Y60,2)</f>
        <v>138.99</v>
      </c>
      <c r="D756" s="276">
        <f>ROUND(Y61,0)</f>
        <v>13910737</v>
      </c>
      <c r="E756" s="276">
        <f>ROUND(Y62,0)</f>
        <v>2947505</v>
      </c>
      <c r="F756" s="276">
        <f>ROUND(Y63,0)</f>
        <v>99165</v>
      </c>
      <c r="G756" s="276">
        <f>ROUND(Y64,0)</f>
        <v>5712614</v>
      </c>
      <c r="H756" s="276">
        <f>ROUND(Y65,0)</f>
        <v>17191</v>
      </c>
      <c r="I756" s="276">
        <f>ROUND(Y66,0)</f>
        <v>4420434</v>
      </c>
      <c r="J756" s="276">
        <f>ROUND(Y67,0)</f>
        <v>2903993</v>
      </c>
      <c r="K756" s="276">
        <f>ROUND(Y68,0)</f>
        <v>405786</v>
      </c>
      <c r="L756" s="276">
        <f>ROUND(Y69,0)</f>
        <v>42337</v>
      </c>
      <c r="M756" s="276">
        <f>ROUND(Y70,0)</f>
        <v>13081</v>
      </c>
      <c r="N756" s="276">
        <f>ROUND(Y75,0)</f>
        <v>176507491</v>
      </c>
      <c r="O756" s="276">
        <f>ROUND(Y73,0)</f>
        <v>44496549</v>
      </c>
      <c r="P756" s="276">
        <f>IF(Y76&gt;0,ROUND(Y76,0),0)</f>
        <v>53104</v>
      </c>
      <c r="Q756" s="276">
        <f>IF(Y77&gt;0,ROUND(Y77,0),0)</f>
        <v>64</v>
      </c>
      <c r="R756" s="276">
        <f>IF(Y78&gt;0,ROUND(Y78,0),0)</f>
        <v>5804</v>
      </c>
      <c r="S756" s="276">
        <f>IF(Y79&gt;0,ROUND(Y79,0),0)</f>
        <v>276188</v>
      </c>
      <c r="T756" s="278">
        <f>IF(Y80&gt;0,ROUND(Y80,2),0)</f>
        <v>22.93</v>
      </c>
      <c r="U756" s="276"/>
      <c r="V756" s="277"/>
      <c r="W756" s="276"/>
      <c r="X756" s="276"/>
      <c r="Y756" s="276">
        <f t="shared" si="21"/>
        <v>12527433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164*2019*7150*A</v>
      </c>
      <c r="B757" s="276">
        <f>ROUND(Z59,0)</f>
        <v>64630</v>
      </c>
      <c r="C757" s="278">
        <f>ROUND(Z60,2)</f>
        <v>20.56</v>
      </c>
      <c r="D757" s="276">
        <f>ROUND(Z61,0)</f>
        <v>4034267</v>
      </c>
      <c r="E757" s="276">
        <f>ROUND(Z62,0)</f>
        <v>670899</v>
      </c>
      <c r="F757" s="276">
        <f>ROUND(Z63,0)</f>
        <v>0</v>
      </c>
      <c r="G757" s="276">
        <f>ROUND(Z64,0)</f>
        <v>338871</v>
      </c>
      <c r="H757" s="276">
        <f>ROUND(Z65,0)</f>
        <v>2646</v>
      </c>
      <c r="I757" s="276">
        <f>ROUND(Z66,0)</f>
        <v>1501374</v>
      </c>
      <c r="J757" s="276">
        <f>ROUND(Z67,0)</f>
        <v>1345347</v>
      </c>
      <c r="K757" s="276">
        <f>ROUND(Z68,0)</f>
        <v>0</v>
      </c>
      <c r="L757" s="276">
        <f>ROUND(Z69,0)</f>
        <v>45931</v>
      </c>
      <c r="M757" s="276">
        <f>ROUND(Z70,0)</f>
        <v>24164</v>
      </c>
      <c r="N757" s="276">
        <f>ROUND(Z75,0)</f>
        <v>40319958</v>
      </c>
      <c r="O757" s="276">
        <f>ROUND(Z73,0)</f>
        <v>1091616</v>
      </c>
      <c r="P757" s="276">
        <f>IF(Z76&gt;0,ROUND(Z76,0),0)</f>
        <v>16493</v>
      </c>
      <c r="Q757" s="276">
        <f>IF(Z77&gt;0,ROUND(Z77,0),0)</f>
        <v>0</v>
      </c>
      <c r="R757" s="276">
        <f>IF(Z78&gt;0,ROUND(Z78,0),0)</f>
        <v>1803</v>
      </c>
      <c r="S757" s="276">
        <f>IF(Z79&gt;0,ROUND(Z79,0),0)</f>
        <v>42723</v>
      </c>
      <c r="T757" s="278">
        <f>IF(Z80&gt;0,ROUND(Z80,2),0)</f>
        <v>3.96</v>
      </c>
      <c r="U757" s="276"/>
      <c r="V757" s="277"/>
      <c r="W757" s="276"/>
      <c r="X757" s="276"/>
      <c r="Y757" s="276">
        <f t="shared" si="21"/>
        <v>2966481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164*2019*7160*A</v>
      </c>
      <c r="B758" s="276">
        <f>ROUND(AA59,0)</f>
        <v>13760</v>
      </c>
      <c r="C758" s="278">
        <f>ROUND(AA60,2)</f>
        <v>3.12</v>
      </c>
      <c r="D758" s="276">
        <f>ROUND(AA61,0)</f>
        <v>439258</v>
      </c>
      <c r="E758" s="276">
        <f>ROUND(AA62,0)</f>
        <v>73705</v>
      </c>
      <c r="F758" s="276">
        <f>ROUND(AA63,0)</f>
        <v>250</v>
      </c>
      <c r="G758" s="276">
        <f>ROUND(AA64,0)</f>
        <v>336630</v>
      </c>
      <c r="H758" s="276">
        <f>ROUND(AA65,0)</f>
        <v>0</v>
      </c>
      <c r="I758" s="276">
        <f>ROUND(AA66,0)</f>
        <v>84181</v>
      </c>
      <c r="J758" s="276">
        <f>ROUND(AA67,0)</f>
        <v>163470</v>
      </c>
      <c r="K758" s="276">
        <f>ROUND(AA68,0)</f>
        <v>0</v>
      </c>
      <c r="L758" s="276">
        <f>ROUND(AA69,0)</f>
        <v>13013</v>
      </c>
      <c r="M758" s="276">
        <f>ROUND(AA70,0)</f>
        <v>0</v>
      </c>
      <c r="N758" s="276">
        <f>ROUND(AA75,0)</f>
        <v>4037518</v>
      </c>
      <c r="O758" s="276">
        <f>ROUND(AA73,0)</f>
        <v>888011</v>
      </c>
      <c r="P758" s="276">
        <f>IF(AA76&gt;0,ROUND(AA76,0),0)</f>
        <v>1139</v>
      </c>
      <c r="Q758" s="276">
        <f>IF(AA77&gt;0,ROUND(AA77,0),0)</f>
        <v>0</v>
      </c>
      <c r="R758" s="276">
        <f>IF(AA78&gt;0,ROUND(AA78,0),0)</f>
        <v>124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308535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164*2019*7170*A</v>
      </c>
      <c r="B759" s="276"/>
      <c r="C759" s="278">
        <f>ROUND(AB60,2)</f>
        <v>54.82</v>
      </c>
      <c r="D759" s="276">
        <f>ROUND(AB61,0)</f>
        <v>5722238</v>
      </c>
      <c r="E759" s="276">
        <f>ROUND(AB62,0)</f>
        <v>1289020</v>
      </c>
      <c r="F759" s="276">
        <f>ROUND(AB63,0)</f>
        <v>0</v>
      </c>
      <c r="G759" s="276">
        <f>ROUND(AB64,0)</f>
        <v>18884571</v>
      </c>
      <c r="H759" s="276">
        <f>ROUND(AB65,0)</f>
        <v>0</v>
      </c>
      <c r="I759" s="276">
        <f>ROUND(AB66,0)</f>
        <v>266922</v>
      </c>
      <c r="J759" s="276">
        <f>ROUND(AB67,0)</f>
        <v>205190</v>
      </c>
      <c r="K759" s="276">
        <f>ROUND(AB68,0)</f>
        <v>0</v>
      </c>
      <c r="L759" s="276">
        <f>ROUND(AB69,0)</f>
        <v>30994</v>
      </c>
      <c r="M759" s="276">
        <f>ROUND(AB70,0)</f>
        <v>7079</v>
      </c>
      <c r="N759" s="276">
        <f>ROUND(AB75,0)</f>
        <v>147586923</v>
      </c>
      <c r="O759" s="276">
        <f>ROUND(AB73,0)</f>
        <v>70782228</v>
      </c>
      <c r="P759" s="276">
        <f>IF(AB76&gt;0,ROUND(AB76,0),0)</f>
        <v>7637</v>
      </c>
      <c r="Q759" s="276">
        <f>IF(AB77&gt;0,ROUND(AB77,0),0)</f>
        <v>0</v>
      </c>
      <c r="R759" s="276">
        <f>IF(AB78&gt;0,ROUND(AB78,0),0)</f>
        <v>835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9448162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164*2019*7180*A</v>
      </c>
      <c r="B760" s="276">
        <f>ROUND(AC59,0)</f>
        <v>30037</v>
      </c>
      <c r="C760" s="278">
        <f>ROUND(AC60,2)</f>
        <v>23.4</v>
      </c>
      <c r="D760" s="276">
        <f>ROUND(AC61,0)</f>
        <v>2174219</v>
      </c>
      <c r="E760" s="276">
        <f>ROUND(AC62,0)</f>
        <v>535527</v>
      </c>
      <c r="F760" s="276">
        <f>ROUND(AC63,0)</f>
        <v>0</v>
      </c>
      <c r="G760" s="276">
        <f>ROUND(AC64,0)</f>
        <v>388758</v>
      </c>
      <c r="H760" s="276">
        <f>ROUND(AC65,0)</f>
        <v>0</v>
      </c>
      <c r="I760" s="276">
        <f>ROUND(AC66,0)</f>
        <v>12001</v>
      </c>
      <c r="J760" s="276">
        <f>ROUND(AC67,0)</f>
        <v>90997</v>
      </c>
      <c r="K760" s="276">
        <f>ROUND(AC68,0)</f>
        <v>2964</v>
      </c>
      <c r="L760" s="276">
        <f>ROUND(AC69,0)</f>
        <v>2500</v>
      </c>
      <c r="M760" s="276">
        <f>ROUND(AC70,0)</f>
        <v>0</v>
      </c>
      <c r="N760" s="276">
        <f>ROUND(AC75,0)</f>
        <v>20208589</v>
      </c>
      <c r="O760" s="276">
        <f>ROUND(AC73,0)</f>
        <v>19440790</v>
      </c>
      <c r="P760" s="276">
        <f>IF(AC76&gt;0,ROUND(AC76,0),0)</f>
        <v>2640</v>
      </c>
      <c r="Q760" s="276">
        <f>IF(AC77&gt;0,ROUND(AC77,0),0)</f>
        <v>0</v>
      </c>
      <c r="R760" s="276">
        <f>IF(AC78&gt;0,ROUND(AC78,0),0)</f>
        <v>289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1295090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164*2019*7190*A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164*2019*7200*A</v>
      </c>
      <c r="B762" s="276">
        <f>ROUND(AE59,0)</f>
        <v>86832</v>
      </c>
      <c r="C762" s="278">
        <f>ROUND(AE60,2)</f>
        <v>63.72</v>
      </c>
      <c r="D762" s="276">
        <f>ROUND(AE61,0)</f>
        <v>5339045</v>
      </c>
      <c r="E762" s="276">
        <f>ROUND(AE62,0)</f>
        <v>1231187</v>
      </c>
      <c r="F762" s="276">
        <f>ROUND(AE63,0)</f>
        <v>0</v>
      </c>
      <c r="G762" s="276">
        <f>ROUND(AE64,0)</f>
        <v>94278</v>
      </c>
      <c r="H762" s="276">
        <f>ROUND(AE65,0)</f>
        <v>4448</v>
      </c>
      <c r="I762" s="276">
        <f>ROUND(AE66,0)</f>
        <v>65702</v>
      </c>
      <c r="J762" s="276">
        <f>ROUND(AE67,0)</f>
        <v>208555</v>
      </c>
      <c r="K762" s="276" t="e">
        <f>ROUND(#REF!,0)</f>
        <v>#REF!</v>
      </c>
      <c r="L762" s="276">
        <f>ROUND(AE69,0)</f>
        <v>27728</v>
      </c>
      <c r="M762" s="276">
        <f>ROUND(AE70,0)</f>
        <v>17559</v>
      </c>
      <c r="N762" s="276">
        <f>ROUND(AE75,0)</f>
        <v>35235030</v>
      </c>
      <c r="O762" s="276">
        <f>ROUND(AE73,0)</f>
        <v>15380650</v>
      </c>
      <c r="P762" s="276">
        <f>IF(AE76&gt;0,ROUND(AE76,0),0)</f>
        <v>17513</v>
      </c>
      <c r="Q762" s="276">
        <f>IF(AE77&gt;0,ROUND(AE77,0),0)</f>
        <v>0</v>
      </c>
      <c r="R762" s="276">
        <f>IF(AE78&gt;0,ROUND(AE78,0),0)</f>
        <v>1914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2793885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164*2019*7220*A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ROUND(AE68,0)</f>
        <v>146275</v>
      </c>
      <c r="L763" s="276">
        <f>ROUND(AG69,0)</f>
        <v>27118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164*2019*7230*A</v>
      </c>
      <c r="B764" s="276">
        <f>ROUND(AG59,0)</f>
        <v>59802</v>
      </c>
      <c r="C764" s="278">
        <f>ROUND(AG60,2)</f>
        <v>118.49</v>
      </c>
      <c r="D764" s="276">
        <f>ROUND(AG61,0)</f>
        <v>9970031</v>
      </c>
      <c r="E764" s="276">
        <f>ROUND(AG62,0)</f>
        <v>2632305</v>
      </c>
      <c r="F764" s="276">
        <f>ROUND(AG63,0)</f>
        <v>571687</v>
      </c>
      <c r="G764" s="276">
        <f>ROUND(AG64,0)</f>
        <v>1678264</v>
      </c>
      <c r="H764" s="276">
        <f>ROUND(AG65,0)</f>
        <v>11435</v>
      </c>
      <c r="I764" s="276">
        <f>ROUND(AG66,0)</f>
        <v>713536</v>
      </c>
      <c r="J764" s="276">
        <f>ROUND(AG67,0)</f>
        <v>940621</v>
      </c>
      <c r="K764" s="276">
        <f>ROUND(AG68,0)</f>
        <v>585156</v>
      </c>
      <c r="L764" s="276" t="e">
        <f>ROUND(#REF!,0)</f>
        <v>#REF!</v>
      </c>
      <c r="M764" s="276">
        <f>ROUND(AG70,0)</f>
        <v>6350</v>
      </c>
      <c r="N764" s="276">
        <f>ROUND(AG75,0)</f>
        <v>173367126</v>
      </c>
      <c r="O764" s="276">
        <f>ROUND(AG73,0)</f>
        <v>37506521</v>
      </c>
      <c r="P764" s="276">
        <f>IF(AG76&gt;0,ROUND(AG76,0),0)</f>
        <v>55057</v>
      </c>
      <c r="Q764" s="276">
        <f>IF(AG77&gt;0,ROUND(AG77,0),0)</f>
        <v>3459</v>
      </c>
      <c r="R764" s="276">
        <f>IF(AG78&gt;0,ROUND(AG78,0),0)</f>
        <v>6018</v>
      </c>
      <c r="S764" s="276">
        <f>IF(AG79&gt;0,ROUND(AG79,0),0)</f>
        <v>327060</v>
      </c>
      <c r="T764" s="278">
        <f>IF(AG80&gt;0,ROUND(AG80,2),0)</f>
        <v>66.88</v>
      </c>
      <c r="U764" s="276"/>
      <c r="V764" s="277"/>
      <c r="W764" s="276"/>
      <c r="X764" s="276"/>
      <c r="Y764" s="276">
        <f t="shared" si="21"/>
        <v>11899901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164*2019*7240*A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164*2019*7250*A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164*2019*7260*A</v>
      </c>
      <c r="B767" s="276">
        <f>ROUND(AJ59,0)</f>
        <v>280221</v>
      </c>
      <c r="C767" s="278">
        <f>ROUND(AJ60,2)</f>
        <v>481.12</v>
      </c>
      <c r="D767" s="276">
        <f>ROUND(AJ61,0)</f>
        <v>72005943</v>
      </c>
      <c r="E767" s="276">
        <f>ROUND(AJ62,0)</f>
        <v>12839187</v>
      </c>
      <c r="F767" s="276">
        <f>ROUND(AJ63,0)</f>
        <v>1092869</v>
      </c>
      <c r="G767" s="276">
        <f>ROUND(AJ64,0)</f>
        <v>5785356</v>
      </c>
      <c r="H767" s="276">
        <f>ROUND(AJ65,0)</f>
        <v>80608</v>
      </c>
      <c r="I767" s="276">
        <f>ROUND(AJ66,0)</f>
        <v>1391581</v>
      </c>
      <c r="J767" s="276">
        <f>ROUND(AJ67,0)</f>
        <v>3242138</v>
      </c>
      <c r="K767" s="276">
        <f>ROUND(AJ68,0)</f>
        <v>287758</v>
      </c>
      <c r="L767" s="276">
        <f>ROUND(AJ69,0)</f>
        <v>1273805</v>
      </c>
      <c r="M767" s="276">
        <f>ROUND(AJ70,0)</f>
        <v>2122416</v>
      </c>
      <c r="N767" s="276">
        <f>ROUND(AJ75,0)</f>
        <v>187666646</v>
      </c>
      <c r="O767" s="276">
        <f>ROUND(AJ73,0)</f>
        <v>28208364</v>
      </c>
      <c r="P767" s="276">
        <f>IF(AJ76&gt;0,ROUND(AJ76,0),0)</f>
        <v>144209</v>
      </c>
      <c r="Q767" s="276">
        <f>IF(AJ77&gt;0,ROUND(AJ77,0),0)</f>
        <v>0</v>
      </c>
      <c r="R767" s="276">
        <f>IF(AJ78&gt;0,ROUND(AJ78,0),0)</f>
        <v>15762</v>
      </c>
      <c r="S767" s="276">
        <f>IF(AJ79&gt;0,ROUND(AJ79,0),0)</f>
        <v>82158</v>
      </c>
      <c r="T767" s="278">
        <f>IF(AJ80&gt;0,ROUND(AJ80,2),0)</f>
        <v>56.91</v>
      </c>
      <c r="U767" s="276"/>
      <c r="V767" s="277"/>
      <c r="W767" s="276"/>
      <c r="X767" s="276"/>
      <c r="Y767" s="276">
        <f t="shared" si="21"/>
        <v>20998818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164*2019*7310*A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164*2019*7320*A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164*2019*7330*A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164*2019*7340*A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164*2019*7350*A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164*2019*7380*A</v>
      </c>
      <c r="B773" s="276">
        <f>ROUND(AP59,0)</f>
        <v>342305</v>
      </c>
      <c r="C773" s="278">
        <f>ROUND(AP60,2)</f>
        <v>386.07</v>
      </c>
      <c r="D773" s="276">
        <f>ROUND(AP61,0)</f>
        <v>44592538</v>
      </c>
      <c r="E773" s="276">
        <f>ROUND(AP62,0)</f>
        <v>9459510</v>
      </c>
      <c r="F773" s="276">
        <f>ROUND(AP63,0)</f>
        <v>3800751</v>
      </c>
      <c r="G773" s="276">
        <f>ROUND(AP64,0)</f>
        <v>5759189</v>
      </c>
      <c r="H773" s="276">
        <f>ROUND(AP65,0)</f>
        <v>199408</v>
      </c>
      <c r="I773" s="276">
        <f>ROUND(AP66,0)</f>
        <v>1427649</v>
      </c>
      <c r="J773" s="276">
        <f>ROUND(AP67,0)</f>
        <v>2880963</v>
      </c>
      <c r="K773" s="276">
        <f>ROUND(AP68,0)</f>
        <v>5820521</v>
      </c>
      <c r="L773" s="276">
        <f>ROUND(AP69,0)</f>
        <v>1054189</v>
      </c>
      <c r="M773" s="276">
        <f>ROUND(AP70,0)</f>
        <v>4675709</v>
      </c>
      <c r="N773" s="276">
        <f>ROUND(AP75,0)</f>
        <v>118743576</v>
      </c>
      <c r="O773" s="276">
        <f>ROUND(AP73,0)</f>
        <v>4312239</v>
      </c>
      <c r="P773" s="276">
        <f>IF(AP76&gt;0,ROUND(AP76,0),0)</f>
        <v>173508</v>
      </c>
      <c r="Q773" s="276">
        <f>IF(AP77&gt;0,ROUND(AP77,0),0)</f>
        <v>0</v>
      </c>
      <c r="R773" s="276">
        <f>IF(AP78&gt;0,ROUND(AP78,0),0)</f>
        <v>18965</v>
      </c>
      <c r="S773" s="276">
        <f>IF(AP79&gt;0,ROUND(AP79,0),0)</f>
        <v>0</v>
      </c>
      <c r="T773" s="278">
        <f>IF(AP80&gt;0,ROUND(AP80,2),0)</f>
        <v>12.98</v>
      </c>
      <c r="U773" s="276"/>
      <c r="V773" s="277"/>
      <c r="W773" s="276"/>
      <c r="X773" s="276"/>
      <c r="Y773" s="276">
        <f t="shared" si="21"/>
        <v>16464785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164*2019*7390*A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164*2019*7400*A</v>
      </c>
      <c r="B775" s="276">
        <f>ROUND(AR59,0)</f>
        <v>0</v>
      </c>
      <c r="C775" s="278">
        <f>ROUND(AR60,2)</f>
        <v>458.89</v>
      </c>
      <c r="D775" s="276">
        <f>ROUND(AR61,0)</f>
        <v>45335877</v>
      </c>
      <c r="E775" s="276">
        <f>ROUND(AR62,0)</f>
        <v>10628031</v>
      </c>
      <c r="F775" s="276">
        <f>ROUND(AR63,0)</f>
        <v>31716</v>
      </c>
      <c r="G775" s="276">
        <f>ROUND(AR64,0)</f>
        <v>3728448</v>
      </c>
      <c r="H775" s="276">
        <f>ROUND(AR65,0)</f>
        <v>399966</v>
      </c>
      <c r="I775" s="276">
        <f>ROUND(AR66,0)</f>
        <v>2815350</v>
      </c>
      <c r="J775" s="276">
        <f>ROUND(AR67,0)</f>
        <v>100893</v>
      </c>
      <c r="K775" s="276">
        <f>ROUND(AR68,0)</f>
        <v>1757914</v>
      </c>
      <c r="L775" s="276">
        <f>ROUND(AR69,0)</f>
        <v>1496810</v>
      </c>
      <c r="M775" s="276">
        <f>ROUND(AR70,0)</f>
        <v>130511</v>
      </c>
      <c r="N775" s="276">
        <f>ROUND(AR75,0)</f>
        <v>128465496</v>
      </c>
      <c r="O775" s="276">
        <f>ROUND(AR73,0)</f>
        <v>-2975</v>
      </c>
      <c r="P775" s="276">
        <f>IF(AR76&gt;0,ROUND(AR76,0),0)</f>
        <v>19432</v>
      </c>
      <c r="Q775" s="276">
        <f>IF(AR77&gt;0,ROUND(AR77,0),0)</f>
        <v>0</v>
      </c>
      <c r="R775" s="276">
        <f>IF(AR78&gt;0,ROUND(AR78,0),0)</f>
        <v>2124</v>
      </c>
      <c r="S775" s="276">
        <f>IF(AR79&gt;0,ROUND(AR79,0),0)</f>
        <v>0</v>
      </c>
      <c r="T775" s="278">
        <f>IF(AR80&gt;0,ROUND(AR80,2),0)</f>
        <v>167.92</v>
      </c>
      <c r="U775" s="276"/>
      <c r="V775" s="277"/>
      <c r="W775" s="276"/>
      <c r="X775" s="276"/>
      <c r="Y775" s="276">
        <f t="shared" si="21"/>
        <v>13597611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164*2019*7410*A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164*2019*7420*A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164*2019*7430*A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164*2019*7490*A</v>
      </c>
      <c r="B779" s="276"/>
      <c r="C779" s="278">
        <f>ROUND(AV60,2)</f>
        <v>21.52</v>
      </c>
      <c r="D779" s="276">
        <f>ROUND(AV61,0)</f>
        <v>2171499</v>
      </c>
      <c r="E779" s="276">
        <f>ROUND(AV62,0)</f>
        <v>537008</v>
      </c>
      <c r="F779" s="276">
        <f>ROUND(AV63,0)</f>
        <v>0</v>
      </c>
      <c r="G779" s="276">
        <f>ROUND(AV64,0)</f>
        <v>5217468</v>
      </c>
      <c r="H779" s="276">
        <f>ROUND(AV65,0)</f>
        <v>4779</v>
      </c>
      <c r="I779" s="276">
        <f>ROUND(AV66,0)</f>
        <v>262920</v>
      </c>
      <c r="J779" s="276">
        <f>ROUND(AV67,0)</f>
        <v>246759</v>
      </c>
      <c r="K779" s="276">
        <f>ROUND(AV68,0)</f>
        <v>0</v>
      </c>
      <c r="L779" s="276">
        <f>ROUND(AV69,0)</f>
        <v>3646</v>
      </c>
      <c r="M779" s="276">
        <f>ROUND(AV70,0)</f>
        <v>5737664</v>
      </c>
      <c r="N779" s="276">
        <f>ROUND(AV75,0)</f>
        <v>12484869</v>
      </c>
      <c r="O779" s="276">
        <f>ROUND(AV73,0)</f>
        <v>2416092</v>
      </c>
      <c r="P779" s="276">
        <f>IF(AV76&gt;0,ROUND(AV76,0),0)</f>
        <v>13015</v>
      </c>
      <c r="Q779" s="276">
        <f>IF(AV77&gt;0,ROUND(AV77,0),0)</f>
        <v>0</v>
      </c>
      <c r="R779" s="276">
        <f>IF(AV78&gt;0,ROUND(AV78,0),0)</f>
        <v>1423</v>
      </c>
      <c r="S779" s="276">
        <f>IF(AV79&gt;0,ROUND(AV79,0),0)</f>
        <v>41178</v>
      </c>
      <c r="T779" s="278">
        <f>IF(AV80&gt;0,ROUND(AV80,2),0)</f>
        <v>61.55</v>
      </c>
      <c r="U779" s="276"/>
      <c r="V779" s="277"/>
      <c r="W779" s="276"/>
      <c r="X779" s="276"/>
      <c r="Y779" s="276">
        <f t="shared" si="21"/>
        <v>1979803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164*2019*8200*A</v>
      </c>
      <c r="B780" s="276"/>
      <c r="C780" s="278">
        <f>ROUND(AW60,2)</f>
        <v>12.79</v>
      </c>
      <c r="D780" s="276">
        <f>ROUND(AW61,0)</f>
        <v>937778</v>
      </c>
      <c r="E780" s="276">
        <f>ROUND(AW62,0)</f>
        <v>222181</v>
      </c>
      <c r="F780" s="276">
        <f>ROUND(AW63,0)</f>
        <v>539079</v>
      </c>
      <c r="G780" s="276">
        <f>ROUND(AW64,0)</f>
        <v>33140</v>
      </c>
      <c r="H780" s="276">
        <f>ROUND(AW65,0)</f>
        <v>0</v>
      </c>
      <c r="I780" s="276">
        <f>ROUND(AW66,0)</f>
        <v>89498</v>
      </c>
      <c r="J780" s="276">
        <f>ROUND(AW67,0)</f>
        <v>27308</v>
      </c>
      <c r="K780" s="276">
        <f>ROUND(AW68,0)</f>
        <v>0</v>
      </c>
      <c r="L780" s="276">
        <f>ROUND(AW69,0)</f>
        <v>82410</v>
      </c>
      <c r="M780" s="276">
        <f>ROUND(AW70,0)</f>
        <v>3029734</v>
      </c>
      <c r="N780" s="276"/>
      <c r="O780" s="276"/>
      <c r="P780" s="276">
        <f>IF(AW76&gt;0,ROUND(AW76,0),0)</f>
        <v>3712</v>
      </c>
      <c r="Q780" s="276">
        <f>IF(AW77&gt;0,ROUND(AW77,0),0)</f>
        <v>0</v>
      </c>
      <c r="R780" s="276">
        <f>IF(AW78&gt;0,ROUND(AW78,0),0)</f>
        <v>406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164*2019*8310*A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358339</v>
      </c>
      <c r="H781" s="276">
        <f>ROUND(AX65,0)</f>
        <v>1128</v>
      </c>
      <c r="I781" s="276">
        <f>ROUND(AX66,0)</f>
        <v>2086265</v>
      </c>
      <c r="J781" s="276">
        <f>ROUND(AX67,0)</f>
        <v>0</v>
      </c>
      <c r="K781" s="276">
        <f>ROUND(AX68,0)</f>
        <v>1613745</v>
      </c>
      <c r="L781" s="276">
        <f>ROUND(AX69,0)</f>
        <v>11729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164*2019*8320*A</v>
      </c>
      <c r="B782" s="276">
        <f>ROUND(AY59,0)</f>
        <v>0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164*2019*8330*A</v>
      </c>
      <c r="B783" s="276">
        <f>ROUND(AZ59,0)</f>
        <v>902499</v>
      </c>
      <c r="C783" s="278">
        <f>ROUND(AZ60,2)</f>
        <v>63.68</v>
      </c>
      <c r="D783" s="276">
        <f>ROUND(AZ61,0)</f>
        <v>2936159</v>
      </c>
      <c r="E783" s="276">
        <f>ROUND(AZ62,0)</f>
        <v>942924</v>
      </c>
      <c r="F783" s="276">
        <f>ROUND(AZ63,0)</f>
        <v>0</v>
      </c>
      <c r="G783" s="276">
        <f>ROUND(AZ64,0)</f>
        <v>1990007</v>
      </c>
      <c r="H783" s="276">
        <f>ROUND(AZ65,0)</f>
        <v>0</v>
      </c>
      <c r="I783" s="276">
        <f>ROUND(AZ66,0)</f>
        <v>35062</v>
      </c>
      <c r="J783" s="276">
        <f>ROUND(AZ67,0)</f>
        <v>771202</v>
      </c>
      <c r="K783" s="276">
        <f>ROUND(AZ68,0)</f>
        <v>11371</v>
      </c>
      <c r="L783" s="276">
        <f>ROUND(AZ69,0)</f>
        <v>155</v>
      </c>
      <c r="M783" s="276">
        <f>ROUND(AZ70,0)</f>
        <v>2110461</v>
      </c>
      <c r="N783" s="276"/>
      <c r="O783" s="276"/>
      <c r="P783" s="276">
        <f>IF(AZ76&gt;0,ROUND(AZ76,0),0)</f>
        <v>23008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164*2019*8350*A</v>
      </c>
      <c r="B784" s="276">
        <f>ROUND(BA59,0)</f>
        <v>0</v>
      </c>
      <c r="C784" s="278">
        <f>ROUND(BA60,2)</f>
        <v>5.42</v>
      </c>
      <c r="D784" s="276">
        <f>ROUND(BA61,0)</f>
        <v>245034</v>
      </c>
      <c r="E784" s="276">
        <f>ROUND(BA62,0)</f>
        <v>100016</v>
      </c>
      <c r="F784" s="276">
        <f>ROUND(BA63,0)</f>
        <v>0</v>
      </c>
      <c r="G784" s="276">
        <f>ROUND(BA64,0)</f>
        <v>22934</v>
      </c>
      <c r="H784" s="276">
        <f>ROUND(BA65,0)</f>
        <v>0</v>
      </c>
      <c r="I784" s="276">
        <f>ROUND(BA66,0)</f>
        <v>3976</v>
      </c>
      <c r="J784" s="276">
        <f>ROUND(BA67,0)</f>
        <v>8539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3589</v>
      </c>
      <c r="Q784" s="276">
        <f>IF(BA77&gt;0,ROUND(BA77,0),0)</f>
        <v>0</v>
      </c>
      <c r="R784" s="276">
        <f>IF(BA78&gt;0,ROUND(BA78,0),0)</f>
        <v>392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164*2019*8360*A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318150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164*2019*8370*A</v>
      </c>
      <c r="B786" s="276"/>
      <c r="C786" s="278">
        <f>ROUND(BC60,2)</f>
        <v>7.29</v>
      </c>
      <c r="D786" s="276">
        <f>ROUND(BC61,0)</f>
        <v>314601</v>
      </c>
      <c r="E786" s="276">
        <f>ROUND(BC62,0)</f>
        <v>108944</v>
      </c>
      <c r="F786" s="276">
        <f>ROUND(BC63,0)</f>
        <v>0</v>
      </c>
      <c r="G786" s="276">
        <f>ROUND(BC64,0)</f>
        <v>643</v>
      </c>
      <c r="H786" s="276">
        <f>ROUND(BC65,0)</f>
        <v>0</v>
      </c>
      <c r="I786" s="276">
        <f>ROUND(BC66,0)</f>
        <v>0</v>
      </c>
      <c r="J786" s="276">
        <f>ROUND(BC67,0)</f>
        <v>15501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164*2019*8420*A</v>
      </c>
      <c r="B787" s="276"/>
      <c r="C787" s="278">
        <f>ROUND(BD60,2)</f>
        <v>32.54</v>
      </c>
      <c r="D787" s="276">
        <f>ROUND(BD61,0)</f>
        <v>2021783</v>
      </c>
      <c r="E787" s="276">
        <f>ROUND(BD62,0)</f>
        <v>596929</v>
      </c>
      <c r="F787" s="276">
        <f>ROUND(BD63,0)</f>
        <v>0</v>
      </c>
      <c r="G787" s="276">
        <f>ROUND(BD64,0)</f>
        <v>78920</v>
      </c>
      <c r="H787" s="276">
        <f>ROUND(BD65,0)</f>
        <v>377</v>
      </c>
      <c r="I787" s="276">
        <f>ROUND(BD66,0)</f>
        <v>49815</v>
      </c>
      <c r="J787" s="276">
        <f>ROUND(BD67,0)</f>
        <v>80145</v>
      </c>
      <c r="K787" s="276">
        <f>ROUND(BD68,0)</f>
        <v>0</v>
      </c>
      <c r="L787" s="276">
        <f>ROUND(BD69,0)</f>
        <v>214460</v>
      </c>
      <c r="M787" s="276">
        <f>ROUND(BD70,0)</f>
        <v>237</v>
      </c>
      <c r="N787" s="276"/>
      <c r="O787" s="276"/>
      <c r="P787" s="276">
        <f>IF(BD76&gt;0,ROUND(BD76,0),0)</f>
        <v>9663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164*2019*8430*A</v>
      </c>
      <c r="B788" s="276">
        <f>ROUND(BE59,0)</f>
        <v>782432</v>
      </c>
      <c r="C788" s="278">
        <f>ROUND(BE60,2)</f>
        <v>45.62</v>
      </c>
      <c r="D788" s="276">
        <f>ROUND(BE61,0)</f>
        <v>3326170</v>
      </c>
      <c r="E788" s="276">
        <f>ROUND(BE62,0)</f>
        <v>914283</v>
      </c>
      <c r="F788" s="276">
        <f>ROUND(BE63,0)</f>
        <v>47500</v>
      </c>
      <c r="G788" s="276">
        <f>ROUND(BE64,0)</f>
        <v>589663</v>
      </c>
      <c r="H788" s="276">
        <f>ROUND(BE65,0)</f>
        <v>3868105</v>
      </c>
      <c r="I788" s="276">
        <f>ROUND(BE66,0)</f>
        <v>2844083</v>
      </c>
      <c r="J788" s="276">
        <f>ROUND(BE67,0)</f>
        <v>6178184</v>
      </c>
      <c r="K788" s="276">
        <f>ROUND(BE68,0)</f>
        <v>3583301</v>
      </c>
      <c r="L788" s="276">
        <f>ROUND(BE69,0)</f>
        <v>187414</v>
      </c>
      <c r="M788" s="276">
        <f>ROUND(BE70,0)</f>
        <v>6395689</v>
      </c>
      <c r="N788" s="276"/>
      <c r="O788" s="276"/>
      <c r="P788" s="276">
        <f>IF(BE76&gt;0,ROUND(BE76,0),0)</f>
        <v>782432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164*2019*8460*A</v>
      </c>
      <c r="B789" s="276"/>
      <c r="C789" s="278">
        <f>ROUND(BF60,2)</f>
        <v>100.21</v>
      </c>
      <c r="D789" s="276">
        <f>ROUND(BF61,0)</f>
        <v>4533926</v>
      </c>
      <c r="E789" s="276">
        <f>ROUND(BF62,0)</f>
        <v>1579397</v>
      </c>
      <c r="F789" s="276">
        <f>ROUND(BF63,0)</f>
        <v>0</v>
      </c>
      <c r="G789" s="276">
        <f>ROUND(BF64,0)</f>
        <v>346298</v>
      </c>
      <c r="H789" s="276">
        <f>ROUND(BF65,0)</f>
        <v>528811</v>
      </c>
      <c r="I789" s="276">
        <f>ROUND(BF66,0)</f>
        <v>-987377</v>
      </c>
      <c r="J789" s="276">
        <f>ROUND(BF67,0)</f>
        <v>49622</v>
      </c>
      <c r="K789" s="276">
        <f>ROUND(BF68,0)</f>
        <v>0</v>
      </c>
      <c r="L789" s="276">
        <f>ROUND(BF69,0)</f>
        <v>954</v>
      </c>
      <c r="M789" s="276">
        <f>ROUND(BF70,0)</f>
        <v>9838</v>
      </c>
      <c r="N789" s="276"/>
      <c r="O789" s="276"/>
      <c r="P789" s="276">
        <f>IF(BF76&gt;0,ROUND(BF76,0),0)</f>
        <v>9475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164*2019*8470*A</v>
      </c>
      <c r="B790" s="276"/>
      <c r="C790" s="278">
        <f>ROUND(BG60,2)</f>
        <v>21.17</v>
      </c>
      <c r="D790" s="276">
        <f>ROUND(BG61,0)</f>
        <v>1171029</v>
      </c>
      <c r="E790" s="276">
        <f>ROUND(BG62,0)</f>
        <v>349255</v>
      </c>
      <c r="F790" s="276">
        <f>ROUND(BG63,0)</f>
        <v>26989</v>
      </c>
      <c r="G790" s="276">
        <f>ROUND(BG64,0)</f>
        <v>220161</v>
      </c>
      <c r="H790" s="276">
        <f>ROUND(BG65,0)</f>
        <v>1112424</v>
      </c>
      <c r="I790" s="276">
        <f>ROUND(BG66,0)</f>
        <v>134696</v>
      </c>
      <c r="J790" s="276">
        <f>ROUND(BG67,0)</f>
        <v>25760</v>
      </c>
      <c r="K790" s="276">
        <f>ROUND(BG68,0)</f>
        <v>9256</v>
      </c>
      <c r="L790" s="276">
        <f>ROUND(BG69,0)</f>
        <v>5482</v>
      </c>
      <c r="M790" s="276">
        <f>ROUND(BG70,0)</f>
        <v>459596</v>
      </c>
      <c r="N790" s="276"/>
      <c r="O790" s="276"/>
      <c r="P790" s="276">
        <f>IF(BG76&gt;0,ROUND(BG76,0),0)</f>
        <v>4982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164*2019*8480*A</v>
      </c>
      <c r="B791" s="276"/>
      <c r="C791" s="278">
        <f>ROUND(BH60,2)</f>
        <v>106.44</v>
      </c>
      <c r="D791" s="276">
        <f>ROUND(BH61,0)</f>
        <v>11197840</v>
      </c>
      <c r="E791" s="276">
        <f>ROUND(BH62,0)</f>
        <v>2582876</v>
      </c>
      <c r="F791" s="276">
        <f>ROUND(BH63,0)</f>
        <v>665</v>
      </c>
      <c r="G791" s="276">
        <f>ROUND(BH64,0)</f>
        <v>1011302</v>
      </c>
      <c r="H791" s="276">
        <f>ROUND(BH65,0)</f>
        <v>7504</v>
      </c>
      <c r="I791" s="276">
        <f>ROUND(BH66,0)</f>
        <v>13027896</v>
      </c>
      <c r="J791" s="276">
        <f>ROUND(BH67,0)</f>
        <v>4922796</v>
      </c>
      <c r="K791" s="276">
        <f>ROUND(BH68,0)</f>
        <v>0</v>
      </c>
      <c r="L791" s="276">
        <f>ROUND(BH69,0)</f>
        <v>51747</v>
      </c>
      <c r="M791" s="276">
        <f>ROUND(BH70,0)</f>
        <v>151478</v>
      </c>
      <c r="N791" s="276"/>
      <c r="O791" s="276"/>
      <c r="P791" s="276">
        <f>IF(BH76&gt;0,ROUND(BH76,0),0)</f>
        <v>19175</v>
      </c>
      <c r="Q791" s="276">
        <f>IF(BH77&gt;0,ROUND(BH77,0),0)</f>
        <v>0</v>
      </c>
      <c r="R791" s="276">
        <f>IF(BH78&gt;0,ROUND(BH78,0),0)</f>
        <v>2096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164*2019*8490*A</v>
      </c>
      <c r="B792" s="276"/>
      <c r="C792" s="278">
        <f>ROUND(BI60,2)</f>
        <v>19.04</v>
      </c>
      <c r="D792" s="276">
        <f>ROUND(BI61,0)</f>
        <v>1917056</v>
      </c>
      <c r="E792" s="276">
        <f>ROUND(BI62,0)</f>
        <v>425952</v>
      </c>
      <c r="F792" s="276">
        <f>ROUND(BI63,0)</f>
        <v>0</v>
      </c>
      <c r="G792" s="276">
        <f>ROUND(BI64,0)</f>
        <v>30834</v>
      </c>
      <c r="H792" s="276">
        <f>ROUND(BI65,0)</f>
        <v>1729</v>
      </c>
      <c r="I792" s="276">
        <f>ROUND(BI66,0)</f>
        <v>238464</v>
      </c>
      <c r="J792" s="276">
        <f>ROUND(BI67,0)</f>
        <v>173326</v>
      </c>
      <c r="K792" s="276">
        <f>ROUND(BI68,0)</f>
        <v>1174136</v>
      </c>
      <c r="L792" s="276">
        <f>ROUND(BI69,0)</f>
        <v>44771</v>
      </c>
      <c r="M792" s="276">
        <f>ROUND(BI70,0)</f>
        <v>1276975</v>
      </c>
      <c r="N792" s="276"/>
      <c r="O792" s="276"/>
      <c r="P792" s="276">
        <f>IF(BI76&gt;0,ROUND(BI76,0),0)</f>
        <v>71116</v>
      </c>
      <c r="Q792" s="276">
        <f>IF(BI77&gt;0,ROUND(BI77,0),0)</f>
        <v>0</v>
      </c>
      <c r="R792" s="276">
        <f>IF(BI78&gt;0,ROUND(BI78,0),0)</f>
        <v>7773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164*2019*8510*A</v>
      </c>
      <c r="B793" s="276"/>
      <c r="C793" s="278">
        <f>ROUND(BJ60,2)</f>
        <v>17.97</v>
      </c>
      <c r="D793" s="276">
        <f>ROUND(BJ61,0)</f>
        <v>1443526</v>
      </c>
      <c r="E793" s="276">
        <f>ROUND(BJ62,0)</f>
        <v>366771</v>
      </c>
      <c r="F793" s="276">
        <f>ROUND(BJ63,0)</f>
        <v>360699</v>
      </c>
      <c r="G793" s="276">
        <f>ROUND(BJ64,0)</f>
        <v>12437</v>
      </c>
      <c r="H793" s="276">
        <f>ROUND(BJ65,0)</f>
        <v>0</v>
      </c>
      <c r="I793" s="276">
        <f>ROUND(BJ66,0)</f>
        <v>112559</v>
      </c>
      <c r="J793" s="276">
        <f>ROUND(BJ67,0)</f>
        <v>20589</v>
      </c>
      <c r="K793" s="276">
        <f>ROUND(BJ68,0)</f>
        <v>0</v>
      </c>
      <c r="L793" s="276">
        <f>ROUND(BJ69,0)</f>
        <v>1748</v>
      </c>
      <c r="M793" s="276">
        <f>ROUND(BJ70,0)</f>
        <v>225641</v>
      </c>
      <c r="N793" s="276"/>
      <c r="O793" s="276"/>
      <c r="P793" s="276">
        <f>IF(BJ76&gt;0,ROUND(BJ76,0),0)</f>
        <v>4264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164*2019*8530*A</v>
      </c>
      <c r="B794" s="276"/>
      <c r="C794" s="278">
        <f>ROUND(BK60,2)</f>
        <v>90.62</v>
      </c>
      <c r="D794" s="276">
        <f>ROUND(BK61,0)</f>
        <v>5055312</v>
      </c>
      <c r="E794" s="276">
        <f>ROUND(BK62,0)</f>
        <v>1548535</v>
      </c>
      <c r="F794" s="276">
        <f>ROUND(BK63,0)</f>
        <v>404714</v>
      </c>
      <c r="G794" s="276">
        <f>ROUND(BK64,0)</f>
        <v>81369</v>
      </c>
      <c r="H794" s="276">
        <f>ROUND(BK65,0)</f>
        <v>6103</v>
      </c>
      <c r="I794" s="276">
        <f>ROUND(BK66,0)</f>
        <v>2678633</v>
      </c>
      <c r="J794" s="276">
        <f>ROUND(BK67,0)</f>
        <v>69202</v>
      </c>
      <c r="K794" s="276">
        <f>ROUND(BK68,0)</f>
        <v>117732</v>
      </c>
      <c r="L794" s="276">
        <f>ROUND(BK69,0)</f>
        <v>8906</v>
      </c>
      <c r="M794" s="276">
        <f>ROUND(BK70,0)</f>
        <v>0</v>
      </c>
      <c r="N794" s="276"/>
      <c r="O794" s="276"/>
      <c r="P794" s="276">
        <f>IF(BK76&gt;0,ROUND(BK76,0),0)</f>
        <v>16303</v>
      </c>
      <c r="Q794" s="276">
        <f>IF(BK77&gt;0,ROUND(BK77,0),0)</f>
        <v>0</v>
      </c>
      <c r="R794" s="276">
        <f>IF(BK78&gt;0,ROUND(BK78,0),0)</f>
        <v>1782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164*2019*8560*A</v>
      </c>
      <c r="B795" s="276"/>
      <c r="C795" s="278">
        <f>ROUND(BL60,2)</f>
        <v>69</v>
      </c>
      <c r="D795" s="276">
        <f>ROUND(BL61,0)</f>
        <v>3591757</v>
      </c>
      <c r="E795" s="276">
        <f>ROUND(BL62,0)</f>
        <v>1114064</v>
      </c>
      <c r="F795" s="276">
        <f>ROUND(BL63,0)</f>
        <v>0</v>
      </c>
      <c r="G795" s="276">
        <f>ROUND(BL64,0)</f>
        <v>36477</v>
      </c>
      <c r="H795" s="276">
        <f>ROUND(BL65,0)</f>
        <v>999</v>
      </c>
      <c r="I795" s="276">
        <f>ROUND(BL66,0)</f>
        <v>147186</v>
      </c>
      <c r="J795" s="276">
        <f>ROUND(BL67,0)</f>
        <v>28895</v>
      </c>
      <c r="K795" s="276">
        <f>ROUND(BL68,0)</f>
        <v>0</v>
      </c>
      <c r="L795" s="276">
        <f>ROUND(BL69,0)</f>
        <v>5047</v>
      </c>
      <c r="M795" s="276">
        <f>ROUND(BL70,0)</f>
        <v>418980</v>
      </c>
      <c r="N795" s="276"/>
      <c r="O795" s="276"/>
      <c r="P795" s="276">
        <f>IF(BL76&gt;0,ROUND(BL76,0),0)</f>
        <v>5010</v>
      </c>
      <c r="Q795" s="276">
        <f>IF(BL77&gt;0,ROUND(BL77,0),0)</f>
        <v>0</v>
      </c>
      <c r="R795" s="276">
        <f>IF(BL78&gt;0,ROUND(BL78,0),0)</f>
        <v>548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164*2019*8590*A</v>
      </c>
      <c r="B796" s="276"/>
      <c r="C796" s="278">
        <f>ROUND(BM60,2)</f>
        <v>26.89</v>
      </c>
      <c r="D796" s="276">
        <f>ROUND(BM61,0)</f>
        <v>2787890</v>
      </c>
      <c r="E796" s="276">
        <f>ROUND(BM62,0)</f>
        <v>694157</v>
      </c>
      <c r="F796" s="276">
        <f>ROUND(BM63,0)</f>
        <v>183922</v>
      </c>
      <c r="G796" s="276">
        <f>ROUND(BM64,0)</f>
        <v>25491</v>
      </c>
      <c r="H796" s="276">
        <f>ROUND(BM65,0)</f>
        <v>0</v>
      </c>
      <c r="I796" s="276">
        <f>ROUND(BM66,0)</f>
        <v>568477</v>
      </c>
      <c r="J796" s="276">
        <f>ROUND(BM67,0)</f>
        <v>19558</v>
      </c>
      <c r="K796" s="276">
        <f>ROUND(BM68,0)</f>
        <v>0</v>
      </c>
      <c r="L796" s="276">
        <f>ROUND(BM69,0)</f>
        <v>17812</v>
      </c>
      <c r="M796" s="276">
        <f>ROUND(BM70,0)</f>
        <v>0</v>
      </c>
      <c r="N796" s="276"/>
      <c r="O796" s="276"/>
      <c r="P796" s="276">
        <f>IF(BM76&gt;0,ROUND(BM76,0),0)</f>
        <v>4747</v>
      </c>
      <c r="Q796" s="276">
        <f>IF(BM77&gt;0,ROUND(BM77,0),0)</f>
        <v>0</v>
      </c>
      <c r="R796" s="276">
        <f>IF(BM78&gt;0,ROUND(BM78,0),0)</f>
        <v>519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164*2019*8610*A</v>
      </c>
      <c r="B797" s="276"/>
      <c r="C797" s="278">
        <f>ROUND(BN60,2)</f>
        <v>24.87</v>
      </c>
      <c r="D797" s="276">
        <f>ROUND(BN61,0)</f>
        <v>7084888</v>
      </c>
      <c r="E797" s="276">
        <f>ROUND(BN62,0)</f>
        <v>1809715</v>
      </c>
      <c r="F797" s="276">
        <f>ROUND(BN63,0)</f>
        <v>4571936</v>
      </c>
      <c r="G797" s="276">
        <f>ROUND(BN64,0)</f>
        <v>37391</v>
      </c>
      <c r="H797" s="276">
        <f>ROUND(BN65,0)</f>
        <v>351</v>
      </c>
      <c r="I797" s="276">
        <f>ROUND(BN66,0)</f>
        <v>1139091</v>
      </c>
      <c r="J797" s="276">
        <f>ROUND(BN67,0)</f>
        <v>227620</v>
      </c>
      <c r="K797" s="276">
        <f>ROUND(BN68,0)</f>
        <v>2262</v>
      </c>
      <c r="L797" s="276">
        <f>ROUND(BN69,0)</f>
        <v>747856</v>
      </c>
      <c r="M797" s="276">
        <f>ROUND(BN70,0)</f>
        <v>562</v>
      </c>
      <c r="N797" s="276"/>
      <c r="O797" s="276"/>
      <c r="P797" s="276">
        <f>IF(BN76&gt;0,ROUND(BN76,0),0)</f>
        <v>14047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164*2019*8620*A</v>
      </c>
      <c r="B798" s="276"/>
      <c r="C798" s="278">
        <f>ROUND(BO60,2)</f>
        <v>6.37</v>
      </c>
      <c r="D798" s="276">
        <f>ROUND(BO61,0)</f>
        <v>734711</v>
      </c>
      <c r="E798" s="276">
        <f>ROUND(BO62,0)</f>
        <v>139095</v>
      </c>
      <c r="F798" s="276">
        <f>ROUND(BO63,0)</f>
        <v>470</v>
      </c>
      <c r="G798" s="276">
        <f>ROUND(BO64,0)</f>
        <v>158987</v>
      </c>
      <c r="H798" s="276">
        <f>ROUND(BO65,0)</f>
        <v>0</v>
      </c>
      <c r="I798" s="276">
        <f>ROUND(BO66,0)</f>
        <v>32144</v>
      </c>
      <c r="J798" s="276">
        <f>ROUND(BO67,0)</f>
        <v>38727</v>
      </c>
      <c r="K798" s="276">
        <f>ROUND(BO68,0)</f>
        <v>0</v>
      </c>
      <c r="L798" s="276">
        <f>ROUND(BO69,0)</f>
        <v>11786</v>
      </c>
      <c r="M798" s="276">
        <f>ROUND(BO70,0)</f>
        <v>1512</v>
      </c>
      <c r="N798" s="276"/>
      <c r="O798" s="276"/>
      <c r="P798" s="276">
        <f>IF(BO76&gt;0,ROUND(BO76,0),0)</f>
        <v>2093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164*2019*8630*A</v>
      </c>
      <c r="B799" s="276"/>
      <c r="C799" s="278">
        <f>ROUND(BP60,2)</f>
        <v>7.45</v>
      </c>
      <c r="D799" s="276">
        <f>ROUND(BP61,0)</f>
        <v>744346</v>
      </c>
      <c r="E799" s="276">
        <f>ROUND(BP62,0)</f>
        <v>283725</v>
      </c>
      <c r="F799" s="276">
        <f>ROUND(BP63,0)</f>
        <v>167620</v>
      </c>
      <c r="G799" s="276">
        <f>ROUND(BP64,0)</f>
        <v>45581</v>
      </c>
      <c r="H799" s="276">
        <f>ROUND(BP65,0)</f>
        <v>200</v>
      </c>
      <c r="I799" s="276">
        <f>ROUND(BP66,0)</f>
        <v>2980712</v>
      </c>
      <c r="J799" s="276">
        <f>ROUND(BP67,0)</f>
        <v>73493</v>
      </c>
      <c r="K799" s="276">
        <f>ROUND(BP68,0)</f>
        <v>0</v>
      </c>
      <c r="L799" s="276">
        <f>ROUND(BP69,0)</f>
        <v>14973</v>
      </c>
      <c r="M799" s="276">
        <f>ROUND(BP70,0)</f>
        <v>0</v>
      </c>
      <c r="N799" s="276"/>
      <c r="O799" s="276"/>
      <c r="P799" s="276">
        <f>IF(BP76&gt;0,ROUND(BP76,0),0)</f>
        <v>1894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164*2019*8640*A</v>
      </c>
      <c r="B800" s="276"/>
      <c r="C800" s="278">
        <f>ROUND(BQ60,2)</f>
        <v>3.51</v>
      </c>
      <c r="D800" s="276">
        <f>ROUND(BQ61,0)</f>
        <v>464055</v>
      </c>
      <c r="E800" s="276">
        <f>ROUND(BQ62,0)</f>
        <v>108431</v>
      </c>
      <c r="F800" s="276">
        <f>ROUND(BQ63,0)</f>
        <v>0</v>
      </c>
      <c r="G800" s="276">
        <f>ROUND(BQ64,0)</f>
        <v>4934</v>
      </c>
      <c r="H800" s="276">
        <f>ROUND(BQ65,0)</f>
        <v>0</v>
      </c>
      <c r="I800" s="276">
        <f>ROUND(BQ66,0)</f>
        <v>5502</v>
      </c>
      <c r="J800" s="276">
        <f>ROUND(BQ67,0)</f>
        <v>4838</v>
      </c>
      <c r="K800" s="276">
        <f>ROUND(BQ68,0)</f>
        <v>0</v>
      </c>
      <c r="L800" s="276">
        <f>ROUND(BQ69,0)</f>
        <v>2224</v>
      </c>
      <c r="M800" s="276">
        <f>ROUND(BQ70,0)</f>
        <v>0</v>
      </c>
      <c r="N800" s="276"/>
      <c r="O800" s="276"/>
      <c r="P800" s="276">
        <f>IF(BQ76&gt;0,ROUND(BQ76,0),0)</f>
        <v>1677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164*2019*8650*A</v>
      </c>
      <c r="B801" s="276"/>
      <c r="C801" s="278">
        <f>ROUND(BR60,2)</f>
        <v>27.09</v>
      </c>
      <c r="D801" s="276">
        <f>ROUND(BR61,0)</f>
        <v>1860717</v>
      </c>
      <c r="E801" s="276">
        <f>ROUND(BR62,0)</f>
        <v>612848</v>
      </c>
      <c r="F801" s="276">
        <f>ROUND(BR63,0)</f>
        <v>705013</v>
      </c>
      <c r="G801" s="276">
        <f>ROUND(BR64,0)</f>
        <v>43582</v>
      </c>
      <c r="H801" s="276">
        <f>ROUND(BR65,0)</f>
        <v>0</v>
      </c>
      <c r="I801" s="276">
        <f>ROUND(BR66,0)</f>
        <v>681419</v>
      </c>
      <c r="J801" s="276">
        <f>ROUND(BR67,0)</f>
        <v>15087</v>
      </c>
      <c r="K801" s="276">
        <f>ROUND(BR68,0)</f>
        <v>8479</v>
      </c>
      <c r="L801" s="276">
        <f>ROUND(BR69,0)</f>
        <v>24467</v>
      </c>
      <c r="M801" s="276">
        <f>ROUND(BR70,0)</f>
        <v>336</v>
      </c>
      <c r="N801" s="276"/>
      <c r="O801" s="276"/>
      <c r="P801" s="276">
        <f>IF(BR76&gt;0,ROUND(BR76,0),0)</f>
        <v>3492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164*2019*8660*A</v>
      </c>
      <c r="B802" s="276"/>
      <c r="C802" s="278">
        <f>ROUND(BS60,2)</f>
        <v>4.57</v>
      </c>
      <c r="D802" s="276">
        <f>ROUND(BS61,0)</f>
        <v>285398</v>
      </c>
      <c r="E802" s="276">
        <f>ROUND(BS62,0)</f>
        <v>78321</v>
      </c>
      <c r="F802" s="276">
        <f>ROUND(BS63,0)</f>
        <v>0</v>
      </c>
      <c r="G802" s="276">
        <f>ROUND(BS64,0)</f>
        <v>442651</v>
      </c>
      <c r="H802" s="276">
        <f>ROUND(BS65,0)</f>
        <v>1440</v>
      </c>
      <c r="I802" s="276">
        <f>ROUND(BS66,0)</f>
        <v>15685</v>
      </c>
      <c r="J802" s="276">
        <f>ROUND(BS67,0)</f>
        <v>16959</v>
      </c>
      <c r="K802" s="276">
        <f>ROUND(BS68,0)</f>
        <v>0</v>
      </c>
      <c r="L802" s="276">
        <f>ROUND(BS69,0)</f>
        <v>334</v>
      </c>
      <c r="M802" s="276">
        <f>ROUND(BS70,0)</f>
        <v>651077</v>
      </c>
      <c r="N802" s="276"/>
      <c r="O802" s="276"/>
      <c r="P802" s="276">
        <f>IF(BS76&gt;0,ROUND(BS76,0),0)</f>
        <v>3763</v>
      </c>
      <c r="Q802" s="276">
        <f>IF(BS77&gt;0,ROUND(BS77,0),0)</f>
        <v>0</v>
      </c>
      <c r="R802" s="276">
        <f>IF(BS78&gt;0,ROUND(BS78,0),0)</f>
        <v>411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164*2019*8670*A</v>
      </c>
      <c r="B803" s="276"/>
      <c r="C803" s="278">
        <f>ROUND(BT60,2)</f>
        <v>1.61</v>
      </c>
      <c r="D803" s="276">
        <f>ROUND(BT61,0)</f>
        <v>110749</v>
      </c>
      <c r="E803" s="276">
        <f>ROUND(BT62,0)</f>
        <v>47897</v>
      </c>
      <c r="F803" s="276">
        <f>ROUND(BT63,0)</f>
        <v>0</v>
      </c>
      <c r="G803" s="276">
        <f>ROUND(BT64,0)</f>
        <v>0</v>
      </c>
      <c r="H803" s="276">
        <f>ROUND(BT65,0)</f>
        <v>3717</v>
      </c>
      <c r="I803" s="276">
        <f>ROUND(BT66,0)</f>
        <v>1852</v>
      </c>
      <c r="J803" s="276">
        <f>ROUND(BT67,0)</f>
        <v>20365</v>
      </c>
      <c r="K803" s="276">
        <f>ROUND(BT68,0)</f>
        <v>0</v>
      </c>
      <c r="L803" s="276">
        <f>ROUND(BT69,0)</f>
        <v>184</v>
      </c>
      <c r="M803" s="276">
        <f>ROUND(BT70,0)</f>
        <v>25</v>
      </c>
      <c r="N803" s="276"/>
      <c r="O803" s="276"/>
      <c r="P803" s="276">
        <f>IF(BT76&gt;0,ROUND(BT76,0),0)</f>
        <v>947</v>
      </c>
      <c r="Q803" s="276">
        <f>IF(BT77&gt;0,ROUND(BT77,0),0)</f>
        <v>0</v>
      </c>
      <c r="R803" s="276">
        <f>IF(BT78&gt;0,ROUND(BT78,0),0)</f>
        <v>104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164*2019*8680*A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236002</v>
      </c>
      <c r="M804" s="276">
        <f>ROUND(BU70,0)</f>
        <v>15000</v>
      </c>
      <c r="N804" s="276"/>
      <c r="O804" s="276"/>
      <c r="P804" s="276">
        <f>IF(BU76&gt;0,ROUND(BU76,0),0)</f>
        <v>418</v>
      </c>
      <c r="Q804" s="276">
        <f>IF(BU77&gt;0,ROUND(BU77,0),0)</f>
        <v>0</v>
      </c>
      <c r="R804" s="276">
        <f>IF(BU78&gt;0,ROUND(BU78,0),0)</f>
        <v>46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164*2019*8690*A</v>
      </c>
      <c r="B805" s="276"/>
      <c r="C805" s="278">
        <f>ROUND(BV60,2)</f>
        <v>54.67</v>
      </c>
      <c r="D805" s="276">
        <f>ROUND(BV61,0)</f>
        <v>3566769</v>
      </c>
      <c r="E805" s="276">
        <f>ROUND(BV62,0)</f>
        <v>1066023</v>
      </c>
      <c r="F805" s="276">
        <f>ROUND(BV63,0)</f>
        <v>0</v>
      </c>
      <c r="G805" s="276">
        <f>ROUND(BV64,0)</f>
        <v>15754</v>
      </c>
      <c r="H805" s="276">
        <f>ROUND(BV65,0)</f>
        <v>96</v>
      </c>
      <c r="I805" s="276">
        <f>ROUND(BV66,0)</f>
        <v>1258079</v>
      </c>
      <c r="J805" s="276">
        <f>ROUND(BV67,0)</f>
        <v>74146</v>
      </c>
      <c r="K805" s="276">
        <f>ROUND(BV68,0)</f>
        <v>81611</v>
      </c>
      <c r="L805" s="276">
        <f>ROUND(BV69,0)</f>
        <v>5729</v>
      </c>
      <c r="M805" s="276">
        <f>ROUND(BV70,0)</f>
        <v>1808</v>
      </c>
      <c r="N805" s="276"/>
      <c r="O805" s="276"/>
      <c r="P805" s="276">
        <f>IF(BV76&gt;0,ROUND(BV76,0),0)</f>
        <v>7657</v>
      </c>
      <c r="Q805" s="276">
        <f>IF(BV77&gt;0,ROUND(BV77,0),0)</f>
        <v>0</v>
      </c>
      <c r="R805" s="276">
        <f>IF(BV78&gt;0,ROUND(BV78,0),0)</f>
        <v>837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164*2019*8700*A</v>
      </c>
      <c r="B806" s="276"/>
      <c r="C806" s="278">
        <f>ROUND(BW60,2)</f>
        <v>7.59</v>
      </c>
      <c r="D806" s="276">
        <f>ROUND(BW61,0)</f>
        <v>1422951</v>
      </c>
      <c r="E806" s="276">
        <f>ROUND(BW62,0)</f>
        <v>136365</v>
      </c>
      <c r="F806" s="276">
        <f>ROUND(BW63,0)</f>
        <v>1383227</v>
      </c>
      <c r="G806" s="276">
        <f>ROUND(BW64,0)</f>
        <v>24413</v>
      </c>
      <c r="H806" s="276">
        <f>ROUND(BW65,0)</f>
        <v>0</v>
      </c>
      <c r="I806" s="276">
        <f>ROUND(BW66,0)</f>
        <v>292444</v>
      </c>
      <c r="J806" s="276">
        <f>ROUND(BW67,0)</f>
        <v>24088</v>
      </c>
      <c r="K806" s="276">
        <f>ROUND(BW68,0)</f>
        <v>0</v>
      </c>
      <c r="L806" s="276">
        <f>ROUND(BW69,0)</f>
        <v>45130</v>
      </c>
      <c r="M806" s="276">
        <f>ROUND(BW70,0)</f>
        <v>136500</v>
      </c>
      <c r="N806" s="276"/>
      <c r="O806" s="276"/>
      <c r="P806" s="276">
        <f>IF(BW76&gt;0,ROUND(BW76,0),0)</f>
        <v>3468</v>
      </c>
      <c r="Q806" s="276">
        <f>IF(BW77&gt;0,ROUND(BW77,0),0)</f>
        <v>0</v>
      </c>
      <c r="R806" s="276">
        <f>IF(BW78&gt;0,ROUND(BW78,0),0)</f>
        <v>379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164*2019*8710*A</v>
      </c>
      <c r="B807" s="276"/>
      <c r="C807" s="278">
        <f>ROUND(BX60,2)</f>
        <v>51.59</v>
      </c>
      <c r="D807" s="276">
        <f>ROUND(BX61,0)</f>
        <v>5795238</v>
      </c>
      <c r="E807" s="276">
        <f>ROUND(BX62,0)</f>
        <v>1221822</v>
      </c>
      <c r="F807" s="276">
        <f>ROUND(BX63,0)</f>
        <v>303287</v>
      </c>
      <c r="G807" s="276">
        <f>ROUND(BX64,0)</f>
        <v>49775</v>
      </c>
      <c r="H807" s="276">
        <f>ROUND(BX65,0)</f>
        <v>2345</v>
      </c>
      <c r="I807" s="276">
        <f>ROUND(BX66,0)</f>
        <v>683910</v>
      </c>
      <c r="J807" s="276">
        <f>ROUND(BX67,0)</f>
        <v>43337</v>
      </c>
      <c r="K807" s="276">
        <f>ROUND(BX68,0)</f>
        <v>0</v>
      </c>
      <c r="L807" s="276">
        <f>ROUND(BX69,0)</f>
        <v>44145</v>
      </c>
      <c r="M807" s="276">
        <f>ROUND(BX70,0)</f>
        <v>232198</v>
      </c>
      <c r="N807" s="276"/>
      <c r="O807" s="276"/>
      <c r="P807" s="276">
        <f>IF(BX76&gt;0,ROUND(BX76,0),0)</f>
        <v>3549</v>
      </c>
      <c r="Q807" s="276">
        <f>IF(BX77&gt;0,ROUND(BX77,0),0)</f>
        <v>0</v>
      </c>
      <c r="R807" s="276">
        <f>IF(BX78&gt;0,ROUND(BX78,0),0)</f>
        <v>388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164*2019*8720*A</v>
      </c>
      <c r="B808" s="276"/>
      <c r="C808" s="278">
        <f>ROUND(BY60,2)</f>
        <v>17.79</v>
      </c>
      <c r="D808" s="276">
        <f>ROUND(BY61,0)</f>
        <v>1936634</v>
      </c>
      <c r="E808" s="276">
        <f>ROUND(BY62,0)</f>
        <v>452486</v>
      </c>
      <c r="F808" s="276">
        <f>ROUND(BY63,0)</f>
        <v>0</v>
      </c>
      <c r="G808" s="276">
        <f>ROUND(BY64,0)</f>
        <v>909</v>
      </c>
      <c r="H808" s="276">
        <f>ROUND(BY65,0)</f>
        <v>2104</v>
      </c>
      <c r="I808" s="276">
        <f>ROUND(BY66,0)</f>
        <v>15055</v>
      </c>
      <c r="J808" s="276">
        <f>ROUND(BY67,0)</f>
        <v>290769</v>
      </c>
      <c r="K808" s="276">
        <f>ROUND(BY68,0)</f>
        <v>0</v>
      </c>
      <c r="L808" s="276">
        <f>ROUND(BY69,0)</f>
        <v>34348</v>
      </c>
      <c r="M808" s="276">
        <f>ROUND(BY70,0)</f>
        <v>29590</v>
      </c>
      <c r="N808" s="276"/>
      <c r="O808" s="276"/>
      <c r="P808" s="276">
        <f>IF(BY76&gt;0,ROUND(BY76,0),0)</f>
        <v>3146</v>
      </c>
      <c r="Q808" s="276">
        <f>IF(BY77&gt;0,ROUND(BY77,0),0)</f>
        <v>0</v>
      </c>
      <c r="R808" s="276">
        <f>IF(BY78&gt;0,ROUND(BY78,0),0)</f>
        <v>344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164*2019*8730*A</v>
      </c>
      <c r="B809" s="276"/>
      <c r="C809" s="278">
        <f>ROUND(BZ60,2)</f>
        <v>29.96</v>
      </c>
      <c r="D809" s="276">
        <f>ROUND(BZ61,0)</f>
        <v>2650183</v>
      </c>
      <c r="E809" s="276">
        <f>ROUND(BZ62,0)</f>
        <v>1066183</v>
      </c>
      <c r="F809" s="276">
        <f>ROUND(BZ63,0)</f>
        <v>0</v>
      </c>
      <c r="G809" s="276">
        <f>ROUND(BZ64,0)</f>
        <v>2622</v>
      </c>
      <c r="H809" s="276">
        <f>ROUND(BZ65,0)</f>
        <v>100</v>
      </c>
      <c r="I809" s="276">
        <f>ROUND(BZ66,0)</f>
        <v>238</v>
      </c>
      <c r="J809" s="276">
        <f>ROUND(BZ67,0)</f>
        <v>13101</v>
      </c>
      <c r="K809" s="276">
        <f>ROUND(BZ68,0)</f>
        <v>0</v>
      </c>
      <c r="L809" s="276">
        <f>ROUND(BZ69,0)</f>
        <v>3321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164*2019*8740*A</v>
      </c>
      <c r="B810" s="276"/>
      <c r="C810" s="278">
        <f>ROUND(CA60,2)</f>
        <v>10.29</v>
      </c>
      <c r="D810" s="276">
        <f>ROUND(CA61,0)</f>
        <v>981735</v>
      </c>
      <c r="E810" s="276">
        <f>ROUND(CA62,0)</f>
        <v>231098</v>
      </c>
      <c r="F810" s="276">
        <f>ROUND(CA63,0)</f>
        <v>0</v>
      </c>
      <c r="G810" s="276">
        <f>ROUND(CA64,0)</f>
        <v>153085</v>
      </c>
      <c r="H810" s="276">
        <f>ROUND(CA65,0)</f>
        <v>0</v>
      </c>
      <c r="I810" s="276">
        <f>ROUND(CA66,0)</f>
        <v>122580</v>
      </c>
      <c r="J810" s="276">
        <f>ROUND(CA67,0)</f>
        <v>4802</v>
      </c>
      <c r="K810" s="276">
        <f>ROUND(CA68,0)</f>
        <v>0</v>
      </c>
      <c r="L810" s="276">
        <f>ROUND(CA69,0)</f>
        <v>413790</v>
      </c>
      <c r="M810" s="276">
        <f>ROUND(CA70,0)</f>
        <v>8802</v>
      </c>
      <c r="N810" s="276"/>
      <c r="O810" s="276"/>
      <c r="P810" s="276">
        <f>IF(CA76&gt;0,ROUND(CA76,0),0)</f>
        <v>3305</v>
      </c>
      <c r="Q810" s="276">
        <f>IF(CA77&gt;0,ROUND(CA77,0),0)</f>
        <v>0</v>
      </c>
      <c r="R810" s="276">
        <f>IF(CA78&gt;0,ROUND(CA78,0),0)</f>
        <v>361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164*2019*8770*A</v>
      </c>
      <c r="B811" s="276"/>
      <c r="C811" s="278">
        <f>ROUND(CB60,2)</f>
        <v>63.43</v>
      </c>
      <c r="D811" s="276">
        <f>ROUND(CB61,0)</f>
        <v>4695440</v>
      </c>
      <c r="E811" s="276">
        <f>ROUND(CB62,0)</f>
        <v>1337015</v>
      </c>
      <c r="F811" s="276">
        <f>ROUND(CB63,0)</f>
        <v>0</v>
      </c>
      <c r="G811" s="276">
        <f>ROUND(CB64,0)</f>
        <v>102668</v>
      </c>
      <c r="H811" s="276">
        <f>ROUND(CB65,0)</f>
        <v>11127</v>
      </c>
      <c r="I811" s="276">
        <f>ROUND(CB66,0)</f>
        <v>196424</v>
      </c>
      <c r="J811" s="276">
        <f>ROUND(CB67,0)</f>
        <v>37466</v>
      </c>
      <c r="K811" s="276">
        <f>ROUND(CB68,0)</f>
        <v>146428</v>
      </c>
      <c r="L811" s="276">
        <f>ROUND(CB69,0)</f>
        <v>5757</v>
      </c>
      <c r="M811" s="276">
        <f>ROUND(CB70,0)</f>
        <v>1211164</v>
      </c>
      <c r="N811" s="276"/>
      <c r="O811" s="276"/>
      <c r="P811" s="276">
        <f>IF(CB76&gt;0,ROUND(CB76,0),0)</f>
        <v>7240</v>
      </c>
      <c r="Q811" s="276">
        <f>IF(CB77&gt;0,ROUND(CB77,0),0)</f>
        <v>0</v>
      </c>
      <c r="R811" s="276">
        <f>IF(CB78&gt;0,ROUND(CB78,0),0)</f>
        <v>790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164*2019*8790*A</v>
      </c>
      <c r="B812" s="276"/>
      <c r="C812" s="278">
        <f>ROUND(CC60,2)</f>
        <v>42.35</v>
      </c>
      <c r="D812" s="276">
        <f>ROUND(CC61,0)</f>
        <v>7534634</v>
      </c>
      <c r="E812" s="276">
        <f>ROUND(CC62,0)</f>
        <v>1077264</v>
      </c>
      <c r="F812" s="276">
        <f>ROUND(CC63,0)</f>
        <v>1649555</v>
      </c>
      <c r="G812" s="276">
        <f>ROUND(CC64,0)</f>
        <v>-1565034</v>
      </c>
      <c r="H812" s="276">
        <f>ROUND(CC65,0)</f>
        <v>23391</v>
      </c>
      <c r="I812" s="276">
        <f>ROUND(CC66,0)</f>
        <v>3902259</v>
      </c>
      <c r="J812" s="276">
        <f>ROUND(CC67,0)</f>
        <v>76832</v>
      </c>
      <c r="K812" s="276">
        <f>ROUND(CC68,0)</f>
        <v>3200</v>
      </c>
      <c r="L812" s="276">
        <f>ROUND(CC69,0)</f>
        <v>2670013</v>
      </c>
      <c r="M812" s="276">
        <f>ROUND(CC70,0)</f>
        <v>12574887</v>
      </c>
      <c r="N812" s="276"/>
      <c r="O812" s="276"/>
      <c r="P812" s="276">
        <f>IF(CC76&gt;0,ROUND(CC76,0),0)</f>
        <v>7089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164*2019*9000*A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10325592</v>
      </c>
      <c r="V813" s="277">
        <f>ROUND(CD70,0)</f>
        <v>11768</v>
      </c>
      <c r="W813" s="276">
        <f>ROUND(CE72,0)</f>
        <v>26804430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3832.3299999999995</v>
      </c>
      <c r="D815" s="277">
        <f t="shared" si="22"/>
        <v>399309859</v>
      </c>
      <c r="E815" s="277">
        <f t="shared" si="22"/>
        <v>88858385</v>
      </c>
      <c r="F815" s="277">
        <f t="shared" si="22"/>
        <v>17527437</v>
      </c>
      <c r="G815" s="277">
        <f t="shared" si="22"/>
        <v>102262774</v>
      </c>
      <c r="H815" s="277">
        <f t="shared" si="22"/>
        <v>6359047</v>
      </c>
      <c r="I815" s="277">
        <f t="shared" si="22"/>
        <v>56336507</v>
      </c>
      <c r="J815" s="277">
        <f t="shared" si="22"/>
        <v>35399143</v>
      </c>
      <c r="K815" s="277" t="e">
        <f t="shared" si="22"/>
        <v>#REF!</v>
      </c>
      <c r="L815" s="277" t="e">
        <f>SUM(L734:L813)+SUM(U734:U813)</f>
        <v>#REF!</v>
      </c>
      <c r="M815" s="277">
        <f>SUM(M734:M813)+SUM(V734:V813)</f>
        <v>42767748</v>
      </c>
      <c r="N815" s="277">
        <f t="shared" ref="N815:Y815" si="23">SUM(N734:N813)</f>
        <v>1749986859</v>
      </c>
      <c r="O815" s="277">
        <f t="shared" si="23"/>
        <v>836871817</v>
      </c>
      <c r="P815" s="277">
        <f t="shared" si="23"/>
        <v>1906989</v>
      </c>
      <c r="Q815" s="277">
        <f t="shared" si="23"/>
        <v>204227</v>
      </c>
      <c r="R815" s="277">
        <f t="shared" si="23"/>
        <v>113989</v>
      </c>
      <c r="S815" s="277">
        <f t="shared" si="23"/>
        <v>2358106</v>
      </c>
      <c r="T815" s="281">
        <f t="shared" si="23"/>
        <v>961.45999999999981</v>
      </c>
      <c r="U815" s="277">
        <f t="shared" si="23"/>
        <v>10325592</v>
      </c>
      <c r="V815" s="277">
        <f t="shared" si="23"/>
        <v>11768</v>
      </c>
      <c r="W815" s="277">
        <f t="shared" si="23"/>
        <v>26804430</v>
      </c>
      <c r="X815" s="277">
        <f t="shared" si="23"/>
        <v>0</v>
      </c>
      <c r="Y815" s="277">
        <f t="shared" si="23"/>
        <v>161877927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3832.3235336538464</v>
      </c>
      <c r="D816" s="277">
        <f>CE61</f>
        <v>399309860.46999997</v>
      </c>
      <c r="E816" s="277">
        <f>CE62</f>
        <v>88858385</v>
      </c>
      <c r="F816" s="277">
        <f>CE63</f>
        <v>17527436.934</v>
      </c>
      <c r="G816" s="277">
        <f>CE64</f>
        <v>102262774.21000001</v>
      </c>
      <c r="H816" s="280">
        <f>CE65</f>
        <v>6359048.6899999985</v>
      </c>
      <c r="I816" s="280">
        <f>CE66</f>
        <v>56336509.000000015</v>
      </c>
      <c r="J816" s="280">
        <f>CE67</f>
        <v>35399143</v>
      </c>
      <c r="K816" s="280">
        <f>CE68</f>
        <v>16038302</v>
      </c>
      <c r="L816" s="280">
        <f>CE69</f>
        <v>19753729.219999999</v>
      </c>
      <c r="M816" s="280">
        <f>CE70</f>
        <v>42767749.220000006</v>
      </c>
      <c r="N816" s="277">
        <f>CE75</f>
        <v>1749986859.45</v>
      </c>
      <c r="O816" s="277">
        <f>CE73</f>
        <v>836871817.73000002</v>
      </c>
      <c r="P816" s="277">
        <f>CE76</f>
        <v>1906989</v>
      </c>
      <c r="Q816" s="277">
        <f>CE77</f>
        <v>204227</v>
      </c>
      <c r="R816" s="277">
        <f>CE78</f>
        <v>113989</v>
      </c>
      <c r="S816" s="277">
        <f>CE79</f>
        <v>2358105.17</v>
      </c>
      <c r="T816" s="281">
        <f>CE80</f>
        <v>961.46738942307684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161877927.80399999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399309860</v>
      </c>
      <c r="E817" s="180">
        <f>C379</f>
        <v>88858384</v>
      </c>
      <c r="F817" s="180">
        <f>C380</f>
        <v>17527437</v>
      </c>
      <c r="G817" s="240">
        <f>C381</f>
        <v>102262774</v>
      </c>
      <c r="H817" s="240">
        <f>C382</f>
        <v>6359049</v>
      </c>
      <c r="I817" s="240">
        <f>C383</f>
        <v>56336509</v>
      </c>
      <c r="J817" s="240">
        <f>C384</f>
        <v>35399142</v>
      </c>
      <c r="K817" s="240">
        <f>C385</f>
        <v>16038302</v>
      </c>
      <c r="L817" s="240">
        <f>C386+C387+C388+C389</f>
        <v>27302527</v>
      </c>
      <c r="M817" s="240">
        <f>C370</f>
        <v>42767749</v>
      </c>
      <c r="N817" s="180">
        <f>D361</f>
        <v>2017928130</v>
      </c>
      <c r="O817" s="180">
        <f>C359</f>
        <v>836871818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78" fitToWidth="8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40" sqref="B4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EvergreenHealth Kirkland / King Country Public Hos #2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H-164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12040 NE 128th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Kirkland, WA 98034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11" sqref="D11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H-164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EvergreenHealth Kirkland / King Country Public Hos #2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Jeff Tomlin, MD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Tina Mycroft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Tim McLaughlin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425-899-1000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425-899-1684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13819</v>
      </c>
      <c r="G23" s="21">
        <f>data!D111</f>
        <v>61292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4451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153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41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36</v>
      </c>
      <c r="E34" s="49" t="s">
        <v>291</v>
      </c>
      <c r="F34" s="24"/>
      <c r="G34" s="21">
        <f>data!E127</f>
        <v>296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14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318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C10" sqref="C10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EvergreenHealth Kirkland / King Country Public Hos #2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5284</v>
      </c>
      <c r="C7" s="48">
        <f>data!B139</f>
        <v>36261</v>
      </c>
      <c r="D7" s="48">
        <f>data!B140</f>
        <v>0</v>
      </c>
      <c r="E7" s="48">
        <f>data!B141</f>
        <v>384217848</v>
      </c>
      <c r="F7" s="48">
        <f>data!B142</f>
        <v>427887519</v>
      </c>
      <c r="G7" s="48">
        <f>data!B141+data!B142</f>
        <v>812105367</v>
      </c>
    </row>
    <row r="8" spans="1:13" ht="20.149999999999999" customHeight="1" x14ac:dyDescent="0.35">
      <c r="A8" s="23" t="s">
        <v>297</v>
      </c>
      <c r="B8" s="48">
        <f>data!C138</f>
        <v>2335</v>
      </c>
      <c r="C8" s="48">
        <f>data!C139</f>
        <v>10340</v>
      </c>
      <c r="D8" s="48">
        <f>data!C140</f>
        <v>0</v>
      </c>
      <c r="E8" s="48">
        <f>data!C141</f>
        <v>101925545</v>
      </c>
      <c r="F8" s="48">
        <f>data!C142</f>
        <v>93151294</v>
      </c>
      <c r="G8" s="48">
        <f>data!C141+data!C142</f>
        <v>195076839</v>
      </c>
    </row>
    <row r="9" spans="1:13" ht="20.149999999999999" customHeight="1" x14ac:dyDescent="0.35">
      <c r="A9" s="23" t="s">
        <v>1058</v>
      </c>
      <c r="B9" s="48">
        <f>data!D138</f>
        <v>6200</v>
      </c>
      <c r="C9" s="48">
        <f>data!D139</f>
        <v>14691</v>
      </c>
      <c r="D9" s="48">
        <f>data!D140</f>
        <v>0</v>
      </c>
      <c r="E9" s="48">
        <f>data!D141</f>
        <v>320203861</v>
      </c>
      <c r="F9" s="48">
        <f>data!D142</f>
        <v>577139349</v>
      </c>
      <c r="G9" s="48">
        <f>data!D141+data!D142</f>
        <v>897343210</v>
      </c>
    </row>
    <row r="10" spans="1:13" ht="20.149999999999999" customHeight="1" x14ac:dyDescent="0.35">
      <c r="A10" s="111" t="s">
        <v>203</v>
      </c>
      <c r="B10" s="48">
        <f>data!E138</f>
        <v>13819</v>
      </c>
      <c r="C10" s="48">
        <f>data!E139</f>
        <v>61292</v>
      </c>
      <c r="D10" s="48">
        <f>data!E140</f>
        <v>0</v>
      </c>
      <c r="E10" s="48">
        <f>data!E141</f>
        <v>806347254</v>
      </c>
      <c r="F10" s="48">
        <f>data!E142</f>
        <v>1098178162</v>
      </c>
      <c r="G10" s="48">
        <f>data!E141+data!E142</f>
        <v>1904525416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6897598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15025519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0" zoomScale="75" workbookViewId="0">
      <selection activeCell="C38" sqref="C38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EvergreenHealth Kirkland / King Country Public Hos #2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25386270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1298310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2638618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40248712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203216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19533469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3190480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92499075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12517188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2946918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15464106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1393996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1383198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2777194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403403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6687513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7090916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9105986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9105986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C23" sqref="C23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EvergreenHealth Kirkland / King Country Public Hos #2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4913659.68</v>
      </c>
      <c r="D7" s="21">
        <f>data!C195</f>
        <v>0</v>
      </c>
      <c r="E7" s="21">
        <f>data!D195</f>
        <v>0</v>
      </c>
      <c r="F7" s="21">
        <f>data!E195</f>
        <v>4913659.68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13718295.779999999</v>
      </c>
      <c r="D8" s="21">
        <f>data!C196</f>
        <v>0</v>
      </c>
      <c r="E8" s="21">
        <f>data!D196</f>
        <v>594384.47</v>
      </c>
      <c r="F8" s="21">
        <f>data!E196</f>
        <v>13123911.309999999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336138181.80000001</v>
      </c>
      <c r="D9" s="21">
        <f>data!C197</f>
        <v>4238175.8499999996</v>
      </c>
      <c r="E9" s="21">
        <f>data!D197</f>
        <v>0</v>
      </c>
      <c r="F9" s="21">
        <f>data!E197</f>
        <v>340376357.65000004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127496857.58</v>
      </c>
      <c r="D10" s="21">
        <f>data!C198</f>
        <v>2784576.09</v>
      </c>
      <c r="E10" s="21">
        <f>data!D198</f>
        <v>1873.98</v>
      </c>
      <c r="F10" s="21">
        <f>data!E198</f>
        <v>130279559.69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50609.42</v>
      </c>
      <c r="D11" s="21">
        <f>data!C199</f>
        <v>0</v>
      </c>
      <c r="E11" s="21">
        <f>data!D199</f>
        <v>27486.38</v>
      </c>
      <c r="F11" s="21">
        <f>data!E199</f>
        <v>23123.039999999997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297478483.68000001</v>
      </c>
      <c r="D12" s="21">
        <f>data!C200</f>
        <v>18248091.109999999</v>
      </c>
      <c r="E12" s="21">
        <f>data!D200</f>
        <v>14623251.42</v>
      </c>
      <c r="F12" s="21">
        <f>data!E200</f>
        <v>301103323.37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38462716.149999999</v>
      </c>
      <c r="D14" s="21">
        <f>data!C202</f>
        <v>1477905.64</v>
      </c>
      <c r="E14" s="21">
        <f>data!D202</f>
        <v>0</v>
      </c>
      <c r="F14" s="21">
        <f>data!E202</f>
        <v>39940621.789999999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25691086.539999999</v>
      </c>
      <c r="D15" s="21">
        <f>data!C203</f>
        <v>24995416.859999999</v>
      </c>
      <c r="E15" s="21">
        <f>data!D203</f>
        <v>26112650.690000001</v>
      </c>
      <c r="F15" s="21">
        <f>data!E203</f>
        <v>24573852.709999997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843949890.63</v>
      </c>
      <c r="D16" s="21">
        <f>data!C204</f>
        <v>51744165.549999997</v>
      </c>
      <c r="E16" s="21">
        <f>data!D204</f>
        <v>41359646.939999998</v>
      </c>
      <c r="F16" s="21">
        <f>data!E204</f>
        <v>854334409.24000001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11543030.199999999</v>
      </c>
      <c r="D24" s="21">
        <f>data!C209</f>
        <v>359408.82</v>
      </c>
      <c r="E24" s="21">
        <f>data!D209</f>
        <v>594384.47</v>
      </c>
      <c r="F24" s="21">
        <f>data!E209</f>
        <v>11308054.549999999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171122095.91999999</v>
      </c>
      <c r="D25" s="21">
        <f>data!C210</f>
        <v>11338082.73</v>
      </c>
      <c r="E25" s="21">
        <f>data!D210</f>
        <v>0</v>
      </c>
      <c r="F25" s="21">
        <f>data!E210</f>
        <v>182460178.64999998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91988696.510000005</v>
      </c>
      <c r="D26" s="21">
        <f>data!C211</f>
        <v>4267675.76</v>
      </c>
      <c r="E26" s="21">
        <f>data!D211</f>
        <v>1873.98</v>
      </c>
      <c r="F26" s="21">
        <f>data!E211</f>
        <v>96254498.290000007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47806.75</v>
      </c>
      <c r="D27" s="21">
        <f>data!C212</f>
        <v>947.43</v>
      </c>
      <c r="E27" s="21">
        <f>data!D212</f>
        <v>27486.38</v>
      </c>
      <c r="F27" s="21">
        <f>data!E212</f>
        <v>21267.8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226932186.77000001</v>
      </c>
      <c r="D28" s="21">
        <f>data!C213</f>
        <v>17854952.609999999</v>
      </c>
      <c r="E28" s="21">
        <f>data!D213</f>
        <v>14623251.42</v>
      </c>
      <c r="F28" s="21">
        <f>data!E213</f>
        <v>230163887.96000001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21487264.5</v>
      </c>
      <c r="D30" s="21">
        <f>data!C215</f>
        <v>2482052.7599999998</v>
      </c>
      <c r="E30" s="21">
        <f>data!D215</f>
        <v>0</v>
      </c>
      <c r="F30" s="21">
        <f>data!E215</f>
        <v>23969317.259999998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523121080.64999998</v>
      </c>
      <c r="D32" s="21">
        <f>data!C217</f>
        <v>36303120.109999999</v>
      </c>
      <c r="E32" s="21">
        <f>data!D217</f>
        <v>15246996.25</v>
      </c>
      <c r="F32" s="21">
        <f>data!E217</f>
        <v>544177204.50999999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EvergreenHealth Kirkland / King Country Public Hos #2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14990941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591409889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134379928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8744407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6818196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470314582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382577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1212049579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3962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3489992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4753080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8243072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5233395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1240516987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1" zoomScale="75" workbookViewId="0">
      <selection activeCell="F144" sqref="F144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EvergreenHealth Kirkland / King Country Public Hos #2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83951383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272895317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186599621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2942452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13937032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1542955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8920617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10256205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207846340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307368753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307368753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4913660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13123911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340376358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130279559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23123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301103323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39940622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24573853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854334409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544177205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310157204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7771982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3770671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11542653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25055732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25055732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861970682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EvergreenHealth Kirkland / King Country Public Hos #2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31037724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46799779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802142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6069564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1222842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14470232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100402283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14310623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384874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14695497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7788078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269261609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43605100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320654787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14470232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306184555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440688347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440688347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861970682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EvergreenHealth Kirkland / King Country Public Hos #2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806347253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1098178162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1904525415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14990941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1212049579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8243073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5233395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1240516988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664008427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47001114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27871776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74872890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738881317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396802109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92499075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18767520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104115544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6254681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64724254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35828141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15464106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2777194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7090917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9105986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9528965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762958492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-24077175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47068467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22991292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22991292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4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61" zoomScale="65" workbookViewId="0">
      <selection activeCell="C96" sqref="C9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EvergreenHealth Kirkland / King Country Public Hos #2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4943.9799999999996</v>
      </c>
      <c r="D9" s="14">
        <f>data!D59</f>
        <v>8914.4</v>
      </c>
      <c r="E9" s="14">
        <f>data!E59</f>
        <v>37724.47</v>
      </c>
      <c r="F9" s="14">
        <f>data!F59</f>
        <v>0</v>
      </c>
      <c r="G9" s="14">
        <f>data!G59</f>
        <v>3434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139.12829980842912</v>
      </c>
      <c r="D10" s="26">
        <f>data!D60</f>
        <v>63.860402298850566</v>
      </c>
      <c r="E10" s="26">
        <f>data!E60</f>
        <v>268.3683716475096</v>
      </c>
      <c r="F10" s="26">
        <f>data!F60</f>
        <v>6.63448275862069</v>
      </c>
      <c r="G10" s="26">
        <f>data!G60</f>
        <v>17.355177203065136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15198528.740000002</v>
      </c>
      <c r="D11" s="14">
        <f>data!D61</f>
        <v>6456942.5899999999</v>
      </c>
      <c r="E11" s="14">
        <f>data!E61</f>
        <v>23847927.910000004</v>
      </c>
      <c r="F11" s="14">
        <f>data!F61</f>
        <v>646662.20000000007</v>
      </c>
      <c r="G11" s="14">
        <f>data!G61</f>
        <v>1783725.7199999997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3288103</v>
      </c>
      <c r="D12" s="14">
        <f>data!D62</f>
        <v>1600619</v>
      </c>
      <c r="E12" s="14">
        <f>data!E62</f>
        <v>5156004</v>
      </c>
      <c r="F12" s="14">
        <f>data!F62</f>
        <v>165642</v>
      </c>
      <c r="G12" s="14">
        <f>data!G62</f>
        <v>477339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669120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1542862.5699999998</v>
      </c>
      <c r="D14" s="14">
        <f>data!D64</f>
        <v>624555.95000000019</v>
      </c>
      <c r="E14" s="14">
        <f>data!E64</f>
        <v>1805061.5499999996</v>
      </c>
      <c r="F14" s="14">
        <f>data!F64</f>
        <v>24938.940000000002</v>
      </c>
      <c r="G14" s="14">
        <f>data!G64</f>
        <v>82098.36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5294.46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464655.01</v>
      </c>
      <c r="D16" s="14">
        <f>data!D66</f>
        <v>287358.95</v>
      </c>
      <c r="E16" s="14">
        <f>data!E66</f>
        <v>845728.20000000007</v>
      </c>
      <c r="F16" s="14">
        <f>data!F66</f>
        <v>1523.5100000000002</v>
      </c>
      <c r="G16" s="14">
        <f>data!G66</f>
        <v>27044.720000000001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368069</v>
      </c>
      <c r="D17" s="14">
        <f>data!D67</f>
        <v>1567884</v>
      </c>
      <c r="E17" s="14">
        <f>data!E67</f>
        <v>2298276</v>
      </c>
      <c r="F17" s="14">
        <f>data!F67</f>
        <v>0</v>
      </c>
      <c r="G17" s="14">
        <f>data!G67</f>
        <v>101731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37148.99</v>
      </c>
      <c r="D19" s="14">
        <f>data!D69</f>
        <v>2380</v>
      </c>
      <c r="E19" s="14">
        <f>data!E69</f>
        <v>5683.9400000000005</v>
      </c>
      <c r="F19" s="14">
        <f>data!F69</f>
        <v>40291.07</v>
      </c>
      <c r="G19" s="14">
        <f>data!G69</f>
        <v>10122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-21236.37</v>
      </c>
      <c r="D20" s="14">
        <f>-data!D70</f>
        <v>0</v>
      </c>
      <c r="E20" s="14">
        <f>-data!E70</f>
        <v>-49.92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21552545.400000002</v>
      </c>
      <c r="D21" s="14">
        <f>data!D71</f>
        <v>10539740.489999998</v>
      </c>
      <c r="E21" s="14">
        <f>data!E71</f>
        <v>33958631.68</v>
      </c>
      <c r="F21" s="14">
        <f>data!F71</f>
        <v>879057.72000000009</v>
      </c>
      <c r="G21" s="14">
        <f>data!G71</f>
        <v>2482060.7999999998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8009413</v>
      </c>
      <c r="D23" s="48">
        <f>+data!M669</f>
        <v>4453842</v>
      </c>
      <c r="E23" s="48">
        <f>+data!M670</f>
        <v>15580859</v>
      </c>
      <c r="F23" s="48">
        <f>+data!M671</f>
        <v>80566</v>
      </c>
      <c r="G23" s="48">
        <f>+data!M672</f>
        <v>1366671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77609527.890000001</v>
      </c>
      <c r="D24" s="14">
        <f>data!D73</f>
        <v>44221972.640000001</v>
      </c>
      <c r="E24" s="14">
        <f>data!E73</f>
        <v>130300490.08</v>
      </c>
      <c r="F24" s="14">
        <f>data!F73</f>
        <v>0</v>
      </c>
      <c r="G24" s="14">
        <f>data!G73</f>
        <v>14206443.800000001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-76965</v>
      </c>
      <c r="D25" s="14">
        <f>data!D74</f>
        <v>128318</v>
      </c>
      <c r="E25" s="14">
        <f>data!E74</f>
        <v>3042168.25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77532562.890000001</v>
      </c>
      <c r="D26" s="14">
        <f>data!D75</f>
        <v>44350290.640000001</v>
      </c>
      <c r="E26" s="14">
        <f>data!E75</f>
        <v>133342658.33</v>
      </c>
      <c r="F26" s="14">
        <f>data!F75</f>
        <v>0</v>
      </c>
      <c r="G26" s="14">
        <f>data!G75</f>
        <v>14206443.800000001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31983</v>
      </c>
      <c r="D28" s="14">
        <f>data!D76</f>
        <v>24368</v>
      </c>
      <c r="E28" s="14">
        <f>data!E76</f>
        <v>112482</v>
      </c>
      <c r="F28" s="14">
        <f>data!F76</f>
        <v>0</v>
      </c>
      <c r="G28" s="14">
        <f>data!G76</f>
        <v>9095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8550</v>
      </c>
      <c r="D29" s="14">
        <f>data!D77</f>
        <v>25907</v>
      </c>
      <c r="E29" s="14">
        <f>data!E77</f>
        <v>112918</v>
      </c>
      <c r="F29" s="14">
        <f>data!F77</f>
        <v>0</v>
      </c>
      <c r="G29" s="14">
        <f>data!G77</f>
        <v>10223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3999</v>
      </c>
      <c r="D30" s="14">
        <f>data!D78</f>
        <v>3047</v>
      </c>
      <c r="E30" s="14">
        <f>data!E78</f>
        <v>14066</v>
      </c>
      <c r="F30" s="14">
        <f>data!F78</f>
        <v>0</v>
      </c>
      <c r="G30" s="14">
        <f>data!G78</f>
        <v>1137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204432.6</v>
      </c>
      <c r="D31" s="14">
        <f>data!D79</f>
        <v>203209.79</v>
      </c>
      <c r="E31" s="14">
        <f>data!E79</f>
        <v>551205.89</v>
      </c>
      <c r="F31" s="14">
        <f>data!F79</f>
        <v>0</v>
      </c>
      <c r="G31" s="14">
        <f>data!G79</f>
        <v>37965.79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98.293347701149429</v>
      </c>
      <c r="D32" s="84">
        <f>data!D80</f>
        <v>41.484976053639848</v>
      </c>
      <c r="E32" s="84">
        <f>data!E80</f>
        <v>164.65599616858236</v>
      </c>
      <c r="F32" s="84">
        <f>data!F80</f>
        <v>0.15380747126436781</v>
      </c>
      <c r="G32" s="84">
        <f>data!G80</f>
        <v>10.999794061302682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EvergreenHealth Kirkland / King Country Public Hos #2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3836</v>
      </c>
      <c r="G41" s="14">
        <f>data!N59</f>
        <v>0</v>
      </c>
      <c r="H41" s="14">
        <f>data!O59</f>
        <v>4367</v>
      </c>
      <c r="I41" s="14">
        <f>data!P59</f>
        <v>739476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47.760000000000005</v>
      </c>
      <c r="G42" s="26">
        <f>data!N60</f>
        <v>47.494985632183905</v>
      </c>
      <c r="H42" s="26">
        <f>data!O60</f>
        <v>169.87786398467432</v>
      </c>
      <c r="I42" s="26">
        <f>data!P60</f>
        <v>104.74167624521073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4934914.29</v>
      </c>
      <c r="G43" s="14">
        <f>data!N61</f>
        <v>15000633.4</v>
      </c>
      <c r="H43" s="14">
        <f>data!O61</f>
        <v>17505984.350000001</v>
      </c>
      <c r="I43" s="14">
        <f>data!P61</f>
        <v>9889291.4600000009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1252729</v>
      </c>
      <c r="G44" s="14">
        <f>data!N62</f>
        <v>2772752</v>
      </c>
      <c r="H44" s="14">
        <f>data!O62</f>
        <v>4421023</v>
      </c>
      <c r="I44" s="14">
        <f>data!P62</f>
        <v>2271690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5011.84</v>
      </c>
      <c r="G45" s="14">
        <f>data!N63</f>
        <v>689211.51</v>
      </c>
      <c r="H45" s="14">
        <f>data!O63</f>
        <v>1512186.41</v>
      </c>
      <c r="I45" s="14">
        <f>data!P63</f>
        <v>7524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137588.59</v>
      </c>
      <c r="G46" s="14">
        <f>data!N64</f>
        <v>14873.130000000001</v>
      </c>
      <c r="H46" s="14">
        <f>data!O64</f>
        <v>1788199.2399999998</v>
      </c>
      <c r="I46" s="14">
        <f>data!P64</f>
        <v>36496755.900000006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7687.29</v>
      </c>
      <c r="G47" s="14">
        <f>data!N65</f>
        <v>22652.57</v>
      </c>
      <c r="H47" s="14">
        <f>data!O65</f>
        <v>741.06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125413.56</v>
      </c>
      <c r="G48" s="14">
        <f>data!N66</f>
        <v>3255.09</v>
      </c>
      <c r="H48" s="14">
        <f>data!O66</f>
        <v>235964.86000000002</v>
      </c>
      <c r="I48" s="14">
        <f>data!P66</f>
        <v>2038286.4500000002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114442</v>
      </c>
      <c r="G49" s="14">
        <f>data!N67</f>
        <v>5655</v>
      </c>
      <c r="H49" s="14">
        <f>data!O67</f>
        <v>770240</v>
      </c>
      <c r="I49" s="14">
        <f>data!P67</f>
        <v>2677040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72191.75</v>
      </c>
      <c r="G50" s="14">
        <f>data!N68</f>
        <v>0</v>
      </c>
      <c r="H50" s="14">
        <f>data!O68</f>
        <v>0</v>
      </c>
      <c r="I50" s="14">
        <f>data!P68</f>
        <v>81075.240000000005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45407.630000000005</v>
      </c>
      <c r="G51" s="14">
        <f>data!N69</f>
        <v>139106.62999999998</v>
      </c>
      <c r="H51" s="14">
        <f>data!O69</f>
        <v>15721.03</v>
      </c>
      <c r="I51" s="14">
        <f>data!P69</f>
        <v>15673.200000000003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-207292.42</v>
      </c>
      <c r="G52" s="14">
        <f>-data!N70</f>
        <v>-430166.16</v>
      </c>
      <c r="H52" s="14">
        <f>-data!O70</f>
        <v>-22321.45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6488093.5299999993</v>
      </c>
      <c r="G53" s="14">
        <f>data!N71</f>
        <v>18217973.169999998</v>
      </c>
      <c r="H53" s="14">
        <f>data!O71</f>
        <v>26227738.5</v>
      </c>
      <c r="I53" s="14">
        <f>data!P71</f>
        <v>53477336.250000015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1811936</v>
      </c>
      <c r="G55" s="48">
        <f>+data!M679</f>
        <v>2374511</v>
      </c>
      <c r="H55" s="48">
        <f>+data!M680</f>
        <v>11090142</v>
      </c>
      <c r="I55" s="48">
        <f>+data!M681</f>
        <v>21057237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6426243.7299999995</v>
      </c>
      <c r="G56" s="14">
        <f>data!N73</f>
        <v>17470574</v>
      </c>
      <c r="H56" s="14">
        <f>data!O73</f>
        <v>104998532</v>
      </c>
      <c r="I56" s="14">
        <f>data!P73</f>
        <v>83897462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234069</v>
      </c>
      <c r="G57" s="14">
        <f>data!N74</f>
        <v>1057493.02</v>
      </c>
      <c r="H57" s="14">
        <f>data!O74</f>
        <v>4011493</v>
      </c>
      <c r="I57" s="14">
        <f>data!P74</f>
        <v>181023533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6660312.7299999995</v>
      </c>
      <c r="G58" s="14">
        <f>data!N75</f>
        <v>18528067.02</v>
      </c>
      <c r="H58" s="14">
        <f>data!O75</f>
        <v>109010025</v>
      </c>
      <c r="I58" s="14">
        <f>data!P75</f>
        <v>264920995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20520</v>
      </c>
      <c r="G60" s="14">
        <f>data!N76</f>
        <v>5055</v>
      </c>
      <c r="H60" s="14">
        <f>data!O76</f>
        <v>54397</v>
      </c>
      <c r="I60" s="14">
        <f>data!P76</f>
        <v>71966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5212</v>
      </c>
      <c r="G61" s="14">
        <f>data!N77</f>
        <v>0</v>
      </c>
      <c r="H61" s="14">
        <f>data!O77</f>
        <v>32290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2566</v>
      </c>
      <c r="G62" s="14">
        <f>data!N78</f>
        <v>632</v>
      </c>
      <c r="H62" s="14">
        <f>data!O78</f>
        <v>6802</v>
      </c>
      <c r="I62" s="14">
        <f>data!P78</f>
        <v>9002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26675.73</v>
      </c>
      <c r="G63" s="14">
        <f>data!N79</f>
        <v>0</v>
      </c>
      <c r="H63" s="14">
        <f>data!O79</f>
        <v>330071.51</v>
      </c>
      <c r="I63" s="14">
        <f>data!P79</f>
        <v>166060.21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17.91</v>
      </c>
      <c r="G64" s="26">
        <f>data!N80</f>
        <v>0</v>
      </c>
      <c r="H64" s="26">
        <f>data!O80</f>
        <v>126.34620210727969</v>
      </c>
      <c r="I64" s="26">
        <f>data!P80</f>
        <v>46.564980842911872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EvergreenHealth Kirkland / King Country Public Hos #2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1821899</v>
      </c>
      <c r="D73" s="48">
        <f>data!R59</f>
        <v>1277090</v>
      </c>
      <c r="E73" s="212"/>
      <c r="F73" s="212"/>
      <c r="G73" s="14">
        <f>data!U59</f>
        <v>881954</v>
      </c>
      <c r="H73" s="14">
        <f>data!V59</f>
        <v>0</v>
      </c>
      <c r="I73" s="14">
        <f>data!W59</f>
        <v>30016.71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48.751700191570876</v>
      </c>
      <c r="D74" s="26">
        <f>data!R60</f>
        <v>7.2784482758620692</v>
      </c>
      <c r="E74" s="26">
        <f>data!S60</f>
        <v>19.953563218390805</v>
      </c>
      <c r="F74" s="26">
        <f>data!T60</f>
        <v>0</v>
      </c>
      <c r="G74" s="26">
        <f>data!U60</f>
        <v>72.785296934865897</v>
      </c>
      <c r="H74" s="26">
        <f>data!V60</f>
        <v>2.3532375478927205</v>
      </c>
      <c r="I74" s="26">
        <f>data!W60</f>
        <v>5.1952681992337171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5607697.0099999998</v>
      </c>
      <c r="D75" s="14">
        <f>data!R61</f>
        <v>532549.87</v>
      </c>
      <c r="E75" s="14">
        <f>data!S61</f>
        <v>1297209.49</v>
      </c>
      <c r="F75" s="14">
        <f>data!T61</f>
        <v>0</v>
      </c>
      <c r="G75" s="14">
        <f>data!U61</f>
        <v>5533654.8999999994</v>
      </c>
      <c r="H75" s="14">
        <f>data!V61</f>
        <v>143719.98000000004</v>
      </c>
      <c r="I75" s="14">
        <f>data!W61</f>
        <v>681556.45000000019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1485546</v>
      </c>
      <c r="D76" s="14">
        <f>data!R62</f>
        <v>130978</v>
      </c>
      <c r="E76" s="14">
        <f>data!S62</f>
        <v>302559</v>
      </c>
      <c r="F76" s="14">
        <f>data!T62</f>
        <v>0</v>
      </c>
      <c r="G76" s="14">
        <f>data!U62</f>
        <v>1543837</v>
      </c>
      <c r="H76" s="14">
        <f>data!V62</f>
        <v>40156</v>
      </c>
      <c r="I76" s="14">
        <f>data!W62</f>
        <v>128126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138177.03</v>
      </c>
      <c r="H77" s="14">
        <f>data!V63</f>
        <v>1975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314913.45</v>
      </c>
      <c r="D78" s="14">
        <f>data!R64</f>
        <v>417629.8899999999</v>
      </c>
      <c r="E78" s="14">
        <f>data!S64</f>
        <v>709108.76</v>
      </c>
      <c r="F78" s="14">
        <f>data!T64</f>
        <v>0</v>
      </c>
      <c r="G78" s="14">
        <f>data!U64</f>
        <v>4939987.5400000028</v>
      </c>
      <c r="H78" s="14">
        <f>data!V64</f>
        <v>26820.560000000001</v>
      </c>
      <c r="I78" s="14">
        <f>data!W64</f>
        <v>185087.38999999998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652.04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219.35000000000002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68590.41</v>
      </c>
      <c r="D80" s="14">
        <f>data!R66</f>
        <v>78807.600000000006</v>
      </c>
      <c r="E80" s="14">
        <f>data!S66</f>
        <v>254199.97</v>
      </c>
      <c r="F80" s="14">
        <f>data!T66</f>
        <v>0</v>
      </c>
      <c r="G80" s="14">
        <f>data!U66</f>
        <v>5583381.2599999988</v>
      </c>
      <c r="H80" s="14">
        <f>data!V66</f>
        <v>0</v>
      </c>
      <c r="I80" s="14">
        <f>data!W66</f>
        <v>143748.03000000003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94819</v>
      </c>
      <c r="D81" s="14">
        <f>data!R67</f>
        <v>134227</v>
      </c>
      <c r="E81" s="14">
        <f>data!S67</f>
        <v>335393</v>
      </c>
      <c r="F81" s="14">
        <f>data!T67</f>
        <v>0</v>
      </c>
      <c r="G81" s="14">
        <f>data!U67</f>
        <v>415415</v>
      </c>
      <c r="H81" s="14">
        <f>data!V67</f>
        <v>8294</v>
      </c>
      <c r="I81" s="14">
        <f>data!W67</f>
        <v>221523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648.77</v>
      </c>
      <c r="D82" s="14">
        <f>data!R68</f>
        <v>0</v>
      </c>
      <c r="E82" s="14">
        <f>data!S68</f>
        <v>416.93</v>
      </c>
      <c r="F82" s="14">
        <f>data!T68</f>
        <v>0</v>
      </c>
      <c r="G82" s="14">
        <f>data!U68</f>
        <v>10067.86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5461.5599999999995</v>
      </c>
      <c r="D83" s="14">
        <f>data!R69</f>
        <v>0</v>
      </c>
      <c r="E83" s="14">
        <f>data!S69</f>
        <v>125</v>
      </c>
      <c r="F83" s="14">
        <f>data!T69</f>
        <v>0</v>
      </c>
      <c r="G83" s="14">
        <f>data!U69</f>
        <v>37002.99</v>
      </c>
      <c r="H83" s="14">
        <f>data!V69</f>
        <v>0</v>
      </c>
      <c r="I83" s="14">
        <f>data!W69</f>
        <v>1476.23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-657810.88</v>
      </c>
      <c r="H84" s="14">
        <f>-data!V70</f>
        <v>-2805.32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7578328.2399999993</v>
      </c>
      <c r="D85" s="14">
        <f>data!R71</f>
        <v>1294192.3599999999</v>
      </c>
      <c r="E85" s="14">
        <f>data!S71</f>
        <v>2899012.1500000004</v>
      </c>
      <c r="F85" s="14">
        <f>data!T71</f>
        <v>0</v>
      </c>
      <c r="G85" s="14">
        <f>data!U71</f>
        <v>17543932.050000001</v>
      </c>
      <c r="H85" s="14">
        <f>data!V71</f>
        <v>218160.22000000003</v>
      </c>
      <c r="I85" s="14">
        <f>data!W71</f>
        <v>1361517.1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2482803</v>
      </c>
      <c r="D87" s="48">
        <f>+data!M683</f>
        <v>2200329</v>
      </c>
      <c r="E87" s="48">
        <f>+data!M684</f>
        <v>623182</v>
      </c>
      <c r="F87" s="48">
        <f>+data!M685</f>
        <v>0</v>
      </c>
      <c r="G87" s="48">
        <f>+data!M686</f>
        <v>7944939</v>
      </c>
      <c r="H87" s="48">
        <f>+data!M687</f>
        <v>139930</v>
      </c>
      <c r="I87" s="48">
        <f>+data!M688</f>
        <v>970695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5173190</v>
      </c>
      <c r="D88" s="14">
        <f>data!R73</f>
        <v>11145067</v>
      </c>
      <c r="E88" s="14">
        <f>data!S73</f>
        <v>0</v>
      </c>
      <c r="F88" s="14">
        <f>data!T73</f>
        <v>0</v>
      </c>
      <c r="G88" s="14">
        <f>data!U73</f>
        <v>66184421.359999999</v>
      </c>
      <c r="H88" s="14">
        <f>data!V73</f>
        <v>1613505</v>
      </c>
      <c r="I88" s="14">
        <f>data!W73</f>
        <v>5135959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18942642</v>
      </c>
      <c r="D89" s="14">
        <f>data!R74</f>
        <v>30327902</v>
      </c>
      <c r="E89" s="14">
        <f>data!S74</f>
        <v>0</v>
      </c>
      <c r="F89" s="14">
        <f>data!T74</f>
        <v>0</v>
      </c>
      <c r="G89" s="14">
        <f>data!U74</f>
        <v>52893135.5</v>
      </c>
      <c r="H89" s="14">
        <f>data!V74</f>
        <v>544677</v>
      </c>
      <c r="I89" s="14">
        <f>data!W74</f>
        <v>10048637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24115832</v>
      </c>
      <c r="D90" s="14">
        <f>data!R75</f>
        <v>41472969</v>
      </c>
      <c r="E90" s="14">
        <f>data!S75</f>
        <v>0</v>
      </c>
      <c r="F90" s="14">
        <f>data!T75</f>
        <v>0</v>
      </c>
      <c r="G90" s="14">
        <f>data!U75</f>
        <v>119077556.86</v>
      </c>
      <c r="H90" s="14">
        <f>data!V75</f>
        <v>2158182</v>
      </c>
      <c r="I90" s="14">
        <f>data!W75</f>
        <v>15184596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5119</v>
      </c>
      <c r="D92" s="14">
        <f>data!R76</f>
        <v>651</v>
      </c>
      <c r="E92" s="14">
        <f>data!S76</f>
        <v>10270</v>
      </c>
      <c r="F92" s="14">
        <f>data!T76</f>
        <v>0</v>
      </c>
      <c r="G92" s="14">
        <f>data!U76</f>
        <v>15470</v>
      </c>
      <c r="H92" s="14">
        <f>data!V76</f>
        <v>298</v>
      </c>
      <c r="I92" s="14">
        <f>data!W76</f>
        <v>3104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49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640</v>
      </c>
      <c r="D94" s="14">
        <f>data!R78</f>
        <v>81</v>
      </c>
      <c r="E94" s="14">
        <f>data!S78</f>
        <v>1284</v>
      </c>
      <c r="F94" s="14">
        <f>data!T78</f>
        <v>0</v>
      </c>
      <c r="G94" s="14">
        <f>data!U78</f>
        <v>1935</v>
      </c>
      <c r="H94" s="14">
        <f>data!V78</f>
        <v>37</v>
      </c>
      <c r="I94" s="14">
        <f>data!W78</f>
        <v>388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21320.87</v>
      </c>
      <c r="F95" s="14">
        <f>data!T79</f>
        <v>0</v>
      </c>
      <c r="G95" s="14">
        <f>data!U79</f>
        <v>2262.39</v>
      </c>
      <c r="H95" s="14">
        <f>data!V79</f>
        <v>0</v>
      </c>
      <c r="I95" s="14">
        <f>data!W79</f>
        <v>20327.439999999999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38.988836206896551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0.71678639846743297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EvergreenHealth Kirkland / King Country Public Hos #2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138648.74</v>
      </c>
      <c r="D105" s="14">
        <f>data!Y59</f>
        <v>336276.15</v>
      </c>
      <c r="E105" s="14">
        <f>data!Z59</f>
        <v>60040.18</v>
      </c>
      <c r="F105" s="14">
        <f>data!AA59</f>
        <v>13413.4</v>
      </c>
      <c r="G105" s="212"/>
      <c r="H105" s="14">
        <f>data!AC59</f>
        <v>24456.870000000003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12.98617337164751</v>
      </c>
      <c r="D106" s="26">
        <f>data!Y60</f>
        <v>136.03677203065135</v>
      </c>
      <c r="E106" s="26">
        <f>data!Z60</f>
        <v>20.788893678160914</v>
      </c>
      <c r="F106" s="26">
        <f>data!AA60</f>
        <v>3.0805938697318007</v>
      </c>
      <c r="G106" s="26">
        <f>data!AB60</f>
        <v>55.250143678160924</v>
      </c>
      <c r="H106" s="26">
        <f>data!AC60</f>
        <v>28.682279693486588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1366038.36</v>
      </c>
      <c r="D107" s="14">
        <f>data!Y61</f>
        <v>13579741.039999999</v>
      </c>
      <c r="E107" s="14">
        <f>data!Z61</f>
        <v>4151002.94</v>
      </c>
      <c r="F107" s="14">
        <f>data!AA61</f>
        <v>425186.52</v>
      </c>
      <c r="G107" s="14">
        <f>data!AB61</f>
        <v>5952129.9700000007</v>
      </c>
      <c r="H107" s="14">
        <f>data!AC61</f>
        <v>2708296.2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269026</v>
      </c>
      <c r="D108" s="14">
        <f>data!Y62</f>
        <v>3308640</v>
      </c>
      <c r="E108" s="14">
        <f>data!Z62</f>
        <v>714784</v>
      </c>
      <c r="F108" s="14">
        <f>data!AA62</f>
        <v>79950</v>
      </c>
      <c r="G108" s="14">
        <f>data!AB62</f>
        <v>1361836</v>
      </c>
      <c r="H108" s="14">
        <f>data!AC62</f>
        <v>580149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138096.72999999998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371836.5799999999</v>
      </c>
      <c r="D110" s="14">
        <f>data!Y64</f>
        <v>6030148.7500000009</v>
      </c>
      <c r="E110" s="14">
        <f>data!Z64</f>
        <v>518119.09999999992</v>
      </c>
      <c r="F110" s="14">
        <f>data!AA64</f>
        <v>448640.95999999996</v>
      </c>
      <c r="G110" s="14">
        <f>data!AB64</f>
        <v>17314356.470000003</v>
      </c>
      <c r="H110" s="14">
        <f>data!AC64</f>
        <v>398576.14999999997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15127.9</v>
      </c>
      <c r="E111" s="14">
        <f>data!Z65</f>
        <v>2516.59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475511.88000000006</v>
      </c>
      <c r="D112" s="14">
        <f>data!Y66</f>
        <v>3993265.37</v>
      </c>
      <c r="E112" s="14">
        <f>data!Z66</f>
        <v>1501287.0600000003</v>
      </c>
      <c r="F112" s="14">
        <f>data!AA66</f>
        <v>99681.849999999991</v>
      </c>
      <c r="G112" s="14">
        <f>data!AB66</f>
        <v>241603.43000000002</v>
      </c>
      <c r="H112" s="14">
        <f>data!AC66</f>
        <v>7662.7699999999986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121137</v>
      </c>
      <c r="D113" s="14">
        <f>data!Y67</f>
        <v>2982585</v>
      </c>
      <c r="E113" s="14">
        <f>data!Z67</f>
        <v>1241999</v>
      </c>
      <c r="F113" s="14">
        <f>data!AA67</f>
        <v>164491</v>
      </c>
      <c r="G113" s="14">
        <f>data!AB67</f>
        <v>223023</v>
      </c>
      <c r="H113" s="14">
        <f>data!AC67</f>
        <v>78846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446003.63999999996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473.98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3180.9</v>
      </c>
      <c r="D115" s="14">
        <f>data!Y69</f>
        <v>58660.400000000009</v>
      </c>
      <c r="E115" s="14">
        <f>data!Z69</f>
        <v>21101.65</v>
      </c>
      <c r="F115" s="14">
        <f>data!AA69</f>
        <v>9863</v>
      </c>
      <c r="G115" s="14">
        <f>data!AB69</f>
        <v>35023.440000000002</v>
      </c>
      <c r="H115" s="14">
        <f>data!AC69</f>
        <v>2358.0500000000002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-12919.22</v>
      </c>
      <c r="E116" s="14">
        <f>-data!Z70</f>
        <v>-17409.3</v>
      </c>
      <c r="F116" s="14">
        <f>-data!AA70</f>
        <v>0</v>
      </c>
      <c r="G116" s="14">
        <f>-data!AB70</f>
        <v>-1517.98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2606730.7199999997</v>
      </c>
      <c r="D117" s="14">
        <f>data!Y71</f>
        <v>30539349.609999999</v>
      </c>
      <c r="E117" s="14">
        <f>data!Z71</f>
        <v>8133401.04</v>
      </c>
      <c r="F117" s="14">
        <f>data!AA71</f>
        <v>1227813.33</v>
      </c>
      <c r="G117" s="14">
        <f>data!AB71</f>
        <v>25126454.330000006</v>
      </c>
      <c r="H117" s="14">
        <f>data!AC71</f>
        <v>3776362.15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3506498</v>
      </c>
      <c r="D119" s="48">
        <f>+data!M690</f>
        <v>12884354</v>
      </c>
      <c r="E119" s="48">
        <f>+data!M691</f>
        <v>3157371</v>
      </c>
      <c r="F119" s="48">
        <f>+data!M692</f>
        <v>371133</v>
      </c>
      <c r="G119" s="48">
        <f>+data!M693</f>
        <v>9567539</v>
      </c>
      <c r="H119" s="48">
        <f>+data!M694</f>
        <v>1444750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21139298</v>
      </c>
      <c r="D120" s="14">
        <f>data!Y73</f>
        <v>43196583</v>
      </c>
      <c r="E120" s="14">
        <f>data!Z73</f>
        <v>860974</v>
      </c>
      <c r="F120" s="14">
        <f>data!AA73</f>
        <v>1050212</v>
      </c>
      <c r="G120" s="14">
        <f>data!AB73</f>
        <v>71699583.819999993</v>
      </c>
      <c r="H120" s="14">
        <f>data!AC73</f>
        <v>19679502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42948403</v>
      </c>
      <c r="D121" s="14">
        <f>data!Y74</f>
        <v>124081506.84</v>
      </c>
      <c r="E121" s="14">
        <f>data!Z74</f>
        <v>38516890</v>
      </c>
      <c r="F121" s="14">
        <f>data!AA74</f>
        <v>3610414</v>
      </c>
      <c r="G121" s="14">
        <f>data!AB74</f>
        <v>68859984.060000002</v>
      </c>
      <c r="H121" s="14">
        <f>data!AC74</f>
        <v>606808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64087701</v>
      </c>
      <c r="D122" s="14">
        <f>data!Y75</f>
        <v>167278089.84</v>
      </c>
      <c r="E122" s="14">
        <f>data!Z75</f>
        <v>39377864</v>
      </c>
      <c r="F122" s="14">
        <f>data!AA75</f>
        <v>4660626</v>
      </c>
      <c r="G122" s="14">
        <f>data!AB75</f>
        <v>140559567.88</v>
      </c>
      <c r="H122" s="14">
        <f>data!AC75</f>
        <v>20286310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3166</v>
      </c>
      <c r="D124" s="14">
        <f>data!Y76</f>
        <v>50628</v>
      </c>
      <c r="E124" s="14">
        <f>data!Z76</f>
        <v>16493</v>
      </c>
      <c r="F124" s="14">
        <f>data!AA76</f>
        <v>1139</v>
      </c>
      <c r="G124" s="14">
        <f>data!AB76</f>
        <v>7695</v>
      </c>
      <c r="H124" s="14">
        <f>data!AC76</f>
        <v>2635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396</v>
      </c>
      <c r="D126" s="14">
        <f>data!Y78</f>
        <v>6331</v>
      </c>
      <c r="E126" s="14">
        <f>data!Z78</f>
        <v>2062</v>
      </c>
      <c r="F126" s="14">
        <f>data!AA78</f>
        <v>142</v>
      </c>
      <c r="G126" s="14">
        <f>data!AB78</f>
        <v>962</v>
      </c>
      <c r="H126" s="14">
        <f>data!AC78</f>
        <v>330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256891.29</v>
      </c>
      <c r="E127" s="14">
        <f>data!Z79</f>
        <v>45209.42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21.796455938697317</v>
      </c>
      <c r="E128" s="26">
        <f>data!Z80</f>
        <v>4.2119492337164743</v>
      </c>
      <c r="F128" s="26">
        <f>data!AA80</f>
        <v>0</v>
      </c>
      <c r="G128" s="26">
        <f>data!AB80</f>
        <v>0</v>
      </c>
      <c r="H128" s="26">
        <f>data!AC80</f>
        <v>4.1786398467432949E-2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EvergreenHealth Kirkland / King Country Public Hos #2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72038</v>
      </c>
      <c r="D137" s="14">
        <f>data!AF59</f>
        <v>0</v>
      </c>
      <c r="E137" s="14">
        <f>data!AG59</f>
        <v>95286</v>
      </c>
      <c r="F137" s="14">
        <f>data!AH59</f>
        <v>0</v>
      </c>
      <c r="G137" s="14">
        <f>data!AI59</f>
        <v>0</v>
      </c>
      <c r="H137" s="14">
        <f>data!AJ59</f>
        <v>249762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53.077710727969354</v>
      </c>
      <c r="D138" s="26">
        <f>data!AF60</f>
        <v>0</v>
      </c>
      <c r="E138" s="26">
        <f>data!AG60</f>
        <v>105.21431034482758</v>
      </c>
      <c r="F138" s="26">
        <f>data!AH60</f>
        <v>0</v>
      </c>
      <c r="G138" s="26">
        <f>data!AI60</f>
        <v>0</v>
      </c>
      <c r="H138" s="26">
        <f>data!AJ60</f>
        <v>452.11473659003826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4613402.9000000004</v>
      </c>
      <c r="D139" s="14">
        <f>data!AF61</f>
        <v>0</v>
      </c>
      <c r="E139" s="14">
        <f>data!AG61</f>
        <v>9600023.5399999991</v>
      </c>
      <c r="F139" s="14">
        <f>data!AH61</f>
        <v>0</v>
      </c>
      <c r="G139" s="14">
        <f>data!AI61</f>
        <v>0</v>
      </c>
      <c r="H139" s="14">
        <f>data!AJ61</f>
        <v>67040973.039999999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1233556</v>
      </c>
      <c r="D140" s="14">
        <f>data!AF62</f>
        <v>0</v>
      </c>
      <c r="E140" s="14">
        <f>data!AG62</f>
        <v>2589663</v>
      </c>
      <c r="F140" s="14">
        <f>data!AH62</f>
        <v>0</v>
      </c>
      <c r="G140" s="14">
        <f>data!AI62</f>
        <v>0</v>
      </c>
      <c r="H140" s="14">
        <f>data!AJ62</f>
        <v>13459316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660703.63</v>
      </c>
      <c r="F141" s="14">
        <f>data!AH63</f>
        <v>0</v>
      </c>
      <c r="G141" s="14">
        <f>data!AI63</f>
        <v>0</v>
      </c>
      <c r="H141" s="14">
        <f>data!AJ63</f>
        <v>1695804.94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72766.200000000012</v>
      </c>
      <c r="D142" s="14">
        <f>data!AF64</f>
        <v>0</v>
      </c>
      <c r="E142" s="14">
        <f>data!AG64</f>
        <v>1499175.77</v>
      </c>
      <c r="F142" s="14">
        <f>data!AH64</f>
        <v>0</v>
      </c>
      <c r="G142" s="14">
        <f>data!AI64</f>
        <v>0</v>
      </c>
      <c r="H142" s="14">
        <f>data!AJ64</f>
        <v>5053279.5699999994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4836.9399999999996</v>
      </c>
      <c r="D143" s="14">
        <f>data!AF65</f>
        <v>0</v>
      </c>
      <c r="E143" s="14">
        <f>data!AG65</f>
        <v>9629.65</v>
      </c>
      <c r="F143" s="14">
        <f>data!AH65</f>
        <v>0</v>
      </c>
      <c r="G143" s="14">
        <f>data!AI65</f>
        <v>0</v>
      </c>
      <c r="H143" s="14">
        <f>data!AJ65</f>
        <v>82659.599999999991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56057.439999999995</v>
      </c>
      <c r="D144" s="14">
        <f>data!AF66</f>
        <v>0</v>
      </c>
      <c r="E144" s="14">
        <f>data!AG66</f>
        <v>590704.44000000018</v>
      </c>
      <c r="F144" s="14">
        <f>data!AH66</f>
        <v>0</v>
      </c>
      <c r="G144" s="14">
        <f>data!AI66</f>
        <v>0</v>
      </c>
      <c r="H144" s="14">
        <f>data!AJ66</f>
        <v>1065091.3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190643</v>
      </c>
      <c r="D145" s="14">
        <f>data!AF67</f>
        <v>0</v>
      </c>
      <c r="E145" s="14">
        <f>data!AG67</f>
        <v>1055602</v>
      </c>
      <c r="F145" s="14">
        <f>data!AH67</f>
        <v>0</v>
      </c>
      <c r="G145" s="14">
        <f>data!AI67</f>
        <v>0</v>
      </c>
      <c r="H145" s="14">
        <f>data!AJ67</f>
        <v>3170361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153572.42000000001</v>
      </c>
      <c r="D146" s="14">
        <f>data!AF68</f>
        <v>0</v>
      </c>
      <c r="E146" s="14">
        <f>data!AG68</f>
        <v>599098.54</v>
      </c>
      <c r="F146" s="14">
        <f>data!AH68</f>
        <v>0</v>
      </c>
      <c r="G146" s="14">
        <f>data!AI68</f>
        <v>0</v>
      </c>
      <c r="H146" s="14">
        <f>data!AJ68</f>
        <v>136052.95000000001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11190.2</v>
      </c>
      <c r="D147" s="14">
        <f>data!AF69</f>
        <v>0</v>
      </c>
      <c r="E147" s="14">
        <f>data!AG69</f>
        <v>15739.159999999998</v>
      </c>
      <c r="F147" s="14">
        <f>data!AH69</f>
        <v>0</v>
      </c>
      <c r="G147" s="14">
        <f>data!AI69</f>
        <v>0</v>
      </c>
      <c r="H147" s="14">
        <f>data!AJ69</f>
        <v>1116749.6399999999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-4379.49</v>
      </c>
      <c r="D148" s="14">
        <f>-data!AF70</f>
        <v>0</v>
      </c>
      <c r="E148" s="14">
        <f>-data!AG70</f>
        <v>-4296.9799999999996</v>
      </c>
      <c r="F148" s="14">
        <f>-data!AH70</f>
        <v>0</v>
      </c>
      <c r="G148" s="14">
        <f>-data!AI70</f>
        <v>0</v>
      </c>
      <c r="H148" s="14">
        <f>-data!AJ70</f>
        <v>-3669978.77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6331645.6100000013</v>
      </c>
      <c r="D149" s="14">
        <f>data!AF71</f>
        <v>0</v>
      </c>
      <c r="E149" s="14">
        <f>data!AG71</f>
        <v>16616042.75</v>
      </c>
      <c r="F149" s="14">
        <f>data!AH71</f>
        <v>0</v>
      </c>
      <c r="G149" s="14">
        <f>data!AI71</f>
        <v>0</v>
      </c>
      <c r="H149" s="14">
        <f>data!AJ71</f>
        <v>89150309.269999981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2606454</v>
      </c>
      <c r="D151" s="48">
        <f>+data!M697</f>
        <v>0</v>
      </c>
      <c r="E151" s="48">
        <f>+data!M698</f>
        <v>11449844</v>
      </c>
      <c r="F151" s="48">
        <f>+data!M699</f>
        <v>0</v>
      </c>
      <c r="G151" s="48">
        <f>+data!M700</f>
        <v>0</v>
      </c>
      <c r="H151" s="48">
        <f>+data!M701</f>
        <v>21030675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14036401</v>
      </c>
      <c r="D152" s="14">
        <f>data!AF73</f>
        <v>0</v>
      </c>
      <c r="E152" s="14">
        <f>data!AG73</f>
        <v>34949492.920000002</v>
      </c>
      <c r="F152" s="14">
        <f>data!AH73</f>
        <v>0</v>
      </c>
      <c r="G152" s="14">
        <f>data!AI73</f>
        <v>0</v>
      </c>
      <c r="H152" s="14">
        <f>data!AJ73</f>
        <v>25565860.140000001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15036713</v>
      </c>
      <c r="D153" s="14">
        <f>data!AF74</f>
        <v>0</v>
      </c>
      <c r="E153" s="14">
        <f>data!AG74</f>
        <v>112603487.87</v>
      </c>
      <c r="F153" s="14">
        <f>data!AH74</f>
        <v>0</v>
      </c>
      <c r="G153" s="14">
        <f>data!AI74</f>
        <v>0</v>
      </c>
      <c r="H153" s="14">
        <f>data!AJ74</f>
        <v>142159012.60000002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29073114</v>
      </c>
      <c r="D154" s="14">
        <f>data!AF75</f>
        <v>0</v>
      </c>
      <c r="E154" s="14">
        <f>data!AG75</f>
        <v>147552980.79000002</v>
      </c>
      <c r="F154" s="14">
        <f>data!AH75</f>
        <v>0</v>
      </c>
      <c r="G154" s="14">
        <f>data!AI75</f>
        <v>0</v>
      </c>
      <c r="H154" s="14">
        <f>data!AJ75</f>
        <v>167724872.74000001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17259</v>
      </c>
      <c r="D156" s="14">
        <f>data!AF76</f>
        <v>0</v>
      </c>
      <c r="E156" s="14">
        <f>data!AG76</f>
        <v>55060</v>
      </c>
      <c r="F156" s="14">
        <f>data!AH76</f>
        <v>0</v>
      </c>
      <c r="G156" s="14">
        <f>data!AI76</f>
        <v>0</v>
      </c>
      <c r="H156" s="14">
        <f>data!AJ76</f>
        <v>144637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3113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2192</v>
      </c>
      <c r="D158" s="14">
        <f>data!AF78</f>
        <v>0</v>
      </c>
      <c r="E158" s="14">
        <f>data!AG78</f>
        <v>6885</v>
      </c>
      <c r="F158" s="14">
        <f>data!AH78</f>
        <v>0</v>
      </c>
      <c r="G158" s="14">
        <f>data!AI78</f>
        <v>0</v>
      </c>
      <c r="H158" s="14">
        <f>data!AJ78</f>
        <v>18087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366846.1</v>
      </c>
      <c r="F159" s="14">
        <f>data!AH79</f>
        <v>0</v>
      </c>
      <c r="G159" s="14">
        <f>data!AI79</f>
        <v>0</v>
      </c>
      <c r="H159" s="14">
        <f>data!AJ79</f>
        <v>76046.81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63.073271072796928</v>
      </c>
      <c r="F160" s="26">
        <f>data!AH80</f>
        <v>0</v>
      </c>
      <c r="G160" s="26">
        <f>data!AI80</f>
        <v>0</v>
      </c>
      <c r="H160" s="26">
        <f>data!AJ80</f>
        <v>48.517844827586202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EvergreenHealth Kirkland / King Country Public Hos #2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330570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375.66852011494257</v>
      </c>
      <c r="H170" s="26">
        <f>data!AQ60</f>
        <v>0</v>
      </c>
      <c r="I170" s="26">
        <f>data!AR60</f>
        <v>439.44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44273580.100000001</v>
      </c>
      <c r="H171" s="14">
        <f>data!AQ61</f>
        <v>0</v>
      </c>
      <c r="I171" s="14">
        <f>data!AR61</f>
        <v>44696481.32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9838403</v>
      </c>
      <c r="H172" s="14">
        <f>data!AQ62</f>
        <v>0</v>
      </c>
      <c r="I172" s="14">
        <f>data!AR62</f>
        <v>11259535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4827935.16</v>
      </c>
      <c r="H173" s="14">
        <f>data!AQ63</f>
        <v>0</v>
      </c>
      <c r="I173" s="14">
        <f>data!AR63</f>
        <v>40239.93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5393142.7100000009</v>
      </c>
      <c r="H174" s="14">
        <f>data!AQ64</f>
        <v>0</v>
      </c>
      <c r="I174" s="14">
        <f>data!AR64</f>
        <v>3499468.79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173866.24000000002</v>
      </c>
      <c r="H175" s="14">
        <f>data!AQ65</f>
        <v>0</v>
      </c>
      <c r="I175" s="14">
        <f>data!AR65</f>
        <v>288709.14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1522406.7099999997</v>
      </c>
      <c r="H176" s="14">
        <f>data!AQ66</f>
        <v>0</v>
      </c>
      <c r="I176" s="14">
        <f>data!AR66</f>
        <v>3248871.73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3097009</v>
      </c>
      <c r="H177" s="14">
        <f>data!AQ67</f>
        <v>0</v>
      </c>
      <c r="I177" s="14">
        <f>data!AR67</f>
        <v>97941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6244110.3200000003</v>
      </c>
      <c r="H178" s="14">
        <f>data!AQ68</f>
        <v>0</v>
      </c>
      <c r="I178" s="14">
        <f>data!AR68</f>
        <v>1424789.33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1004362.5999999999</v>
      </c>
      <c r="H179" s="14">
        <f>data!AQ69</f>
        <v>0</v>
      </c>
      <c r="I179" s="14">
        <f>data!AR69</f>
        <v>1290335.4300000002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-3285152.58</v>
      </c>
      <c r="H180" s="14">
        <f>-data!AQ70</f>
        <v>0</v>
      </c>
      <c r="I180" s="14">
        <f>-data!AR70</f>
        <v>-72190.86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73089663.260000005</v>
      </c>
      <c r="H181" s="14">
        <f>data!AQ71</f>
        <v>0</v>
      </c>
      <c r="I181" s="14">
        <f>data!AR71</f>
        <v>65774180.809999995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13348925</v>
      </c>
      <c r="H183" s="48">
        <f>+data!M708</f>
        <v>0</v>
      </c>
      <c r="I183" s="48">
        <f>+data!M709</f>
        <v>14152200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3783501.43</v>
      </c>
      <c r="H184" s="14">
        <f>data!AQ73</f>
        <v>0</v>
      </c>
      <c r="I184" s="14">
        <f>data!AR73</f>
        <v>13780.58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109486875.23</v>
      </c>
      <c r="H185" s="14">
        <f>data!AQ74</f>
        <v>0</v>
      </c>
      <c r="I185" s="14">
        <f>data!AR74</f>
        <v>129888230.65000001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113270376.66000001</v>
      </c>
      <c r="H186" s="14">
        <f>data!AQ75</f>
        <v>0</v>
      </c>
      <c r="I186" s="14">
        <f>data!AR75</f>
        <v>129902011.23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45968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5748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14.152452107279693</v>
      </c>
      <c r="H192" s="26">
        <f>data!AQ80</f>
        <v>0</v>
      </c>
      <c r="I192" s="26">
        <f>data!AR80</f>
        <v>165.49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EvergreenHealth Kirkland / King Country Public Hos #2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22.173505747126441</v>
      </c>
      <c r="G202" s="26">
        <f>data!AW60</f>
        <v>16.85624521072797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2334742.7399999998</v>
      </c>
      <c r="G203" s="14">
        <f>data!AW61</f>
        <v>1239468.57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569248</v>
      </c>
      <c r="G204" s="14">
        <f>data!AW62</f>
        <v>267100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660691.63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6246386.7800000021</v>
      </c>
      <c r="G206" s="14">
        <f>data!AW64</f>
        <v>38566.839999999997</v>
      </c>
      <c r="H206" s="14">
        <f>data!AX64</f>
        <v>378796.38000000006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5106.08</v>
      </c>
      <c r="G207" s="14">
        <f>data!AW65</f>
        <v>165.18</v>
      </c>
      <c r="H207" s="14">
        <f>data!AX65</f>
        <v>7181.16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328818.33999999997</v>
      </c>
      <c r="G208" s="14">
        <f>data!AW66</f>
        <v>82641.749999999985</v>
      </c>
      <c r="H208" s="14">
        <f>data!AX66</f>
        <v>2793883.46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228823</v>
      </c>
      <c r="G209" s="14">
        <f>data!AW67</f>
        <v>26637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1829844.69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14217.83</v>
      </c>
      <c r="G211" s="14">
        <f>data!AW69</f>
        <v>81451.45</v>
      </c>
      <c r="H211" s="14">
        <f>data!AX69</f>
        <v>19066.3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-6046951.4500000002</v>
      </c>
      <c r="G212" s="14">
        <f>-data!AW70</f>
        <v>-3917309.72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3680391.3200000012</v>
      </c>
      <c r="G213" s="14">
        <f>data!AW71</f>
        <v>-1520587.2999999998</v>
      </c>
      <c r="H213" s="14">
        <f>data!AX71</f>
        <v>5028771.9899999993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2374221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1988676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8202734.2800000003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10191410.280000001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13135</v>
      </c>
      <c r="G220" s="14">
        <f>data!AW76</f>
        <v>3911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1642</v>
      </c>
      <c r="G222" s="14">
        <f>data!AW78</f>
        <v>489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38997.800000000003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75.655999999999992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EvergreenHealth Kirkland / King Country Public Hos #2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721631.94</v>
      </c>
      <c r="D233" s="14" t="str">
        <f>data!BA59</f>
        <v>x</v>
      </c>
      <c r="E233" s="212"/>
      <c r="F233" s="212"/>
      <c r="G233" s="212"/>
      <c r="H233" s="14">
        <f>data!BE59</f>
        <v>679195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58.676312260536399</v>
      </c>
      <c r="D234" s="26">
        <f>data!BA60</f>
        <v>5.173045977011494</v>
      </c>
      <c r="E234" s="26">
        <f>data!BB60</f>
        <v>0</v>
      </c>
      <c r="F234" s="26">
        <f>data!BC60</f>
        <v>5.859612068965518</v>
      </c>
      <c r="G234" s="26">
        <f>data!BD60</f>
        <v>34.773333333333333</v>
      </c>
      <c r="H234" s="26">
        <f>data!BE60</f>
        <v>49.531987547892726</v>
      </c>
      <c r="I234" s="26">
        <f>data!BF60</f>
        <v>96.14052203065134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2787298.4</v>
      </c>
      <c r="D235" s="14">
        <f>data!BA61</f>
        <v>240539.05000000002</v>
      </c>
      <c r="E235" s="14">
        <f>data!BB61</f>
        <v>0</v>
      </c>
      <c r="F235" s="14">
        <f>data!BC61</f>
        <v>262418.2</v>
      </c>
      <c r="G235" s="14">
        <f>data!BD61</f>
        <v>2157936.13</v>
      </c>
      <c r="H235" s="14">
        <f>data!BE61</f>
        <v>3463628.9699999997</v>
      </c>
      <c r="I235" s="14">
        <f>data!BF61</f>
        <v>4440455.3099999996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959884</v>
      </c>
      <c r="D236" s="14">
        <f>data!BA62</f>
        <v>99160</v>
      </c>
      <c r="E236" s="14">
        <f>data!BB62</f>
        <v>0</v>
      </c>
      <c r="F236" s="14">
        <f>data!BC62</f>
        <v>62755</v>
      </c>
      <c r="G236" s="14">
        <f>data!BD62</f>
        <v>670298</v>
      </c>
      <c r="H236" s="14">
        <f>data!BE62</f>
        <v>972365</v>
      </c>
      <c r="I236" s="14">
        <f>data!BF62</f>
        <v>1611247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1647784.9199999995</v>
      </c>
      <c r="D238" s="14">
        <f>data!BA64</f>
        <v>20446.11</v>
      </c>
      <c r="E238" s="14">
        <f>data!BB64</f>
        <v>0</v>
      </c>
      <c r="F238" s="14">
        <f>data!BC64</f>
        <v>652.00000000000011</v>
      </c>
      <c r="G238" s="14">
        <f>data!BD64</f>
        <v>34754.32</v>
      </c>
      <c r="H238" s="14">
        <f>data!BE64</f>
        <v>754459.85999999987</v>
      </c>
      <c r="I238" s="14">
        <f>data!BF64</f>
        <v>343736.02999999991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334.37</v>
      </c>
      <c r="H239" s="14">
        <f>data!BE65</f>
        <v>3913307.6200000006</v>
      </c>
      <c r="I239" s="14">
        <f>data!BF65</f>
        <v>474052.85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171410.19000000009</v>
      </c>
      <c r="D240" s="14">
        <f>data!BA66</f>
        <v>1349.4</v>
      </c>
      <c r="E240" s="14">
        <f>data!BB66</f>
        <v>227839.55</v>
      </c>
      <c r="F240" s="14">
        <f>data!BC66</f>
        <v>51.91</v>
      </c>
      <c r="G240" s="14">
        <f>data!BD66</f>
        <v>15678.720000000001</v>
      </c>
      <c r="H240" s="14">
        <f>data!BE66</f>
        <v>2709894.24</v>
      </c>
      <c r="I240" s="14">
        <f>data!BF66</f>
        <v>-940340.47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777133</v>
      </c>
      <c r="D241" s="14">
        <f>data!BA67</f>
        <v>7348</v>
      </c>
      <c r="E241" s="14">
        <f>data!BB67</f>
        <v>0</v>
      </c>
      <c r="F241" s="14">
        <f>data!BC67</f>
        <v>16371</v>
      </c>
      <c r="G241" s="14">
        <f>data!BD67</f>
        <v>75348</v>
      </c>
      <c r="H241" s="14">
        <f>data!BE67</f>
        <v>6227962</v>
      </c>
      <c r="I241" s="14">
        <f>data!BF67</f>
        <v>61561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8446.81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2955908.89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644.29999999999995</v>
      </c>
      <c r="D243" s="14">
        <f>data!BA69</f>
        <v>0</v>
      </c>
      <c r="E243" s="14">
        <f>data!BB69</f>
        <v>0</v>
      </c>
      <c r="F243" s="14">
        <f>data!BC69</f>
        <v>360.59</v>
      </c>
      <c r="G243" s="14">
        <f>data!BD69</f>
        <v>231474</v>
      </c>
      <c r="H243" s="14">
        <f>data!BE69</f>
        <v>191917.08</v>
      </c>
      <c r="I243" s="14">
        <f>data!BF69</f>
        <v>385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-1442909.31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-7.31</v>
      </c>
      <c r="H244" s="14">
        <f>-data!BE70</f>
        <v>-6737497.2699999996</v>
      </c>
      <c r="I244" s="14">
        <f>-data!BF70</f>
        <v>-8589.31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4909692.3099999987</v>
      </c>
      <c r="D245" s="14">
        <f>data!BA71</f>
        <v>368842.56000000006</v>
      </c>
      <c r="E245" s="14">
        <f>data!BB71</f>
        <v>227839.55</v>
      </c>
      <c r="F245" s="14">
        <f>data!BC71</f>
        <v>342608.7</v>
      </c>
      <c r="G245" s="14">
        <f>data!BD71</f>
        <v>3185816.23</v>
      </c>
      <c r="H245" s="14">
        <f>data!BE71</f>
        <v>14451946.390000001</v>
      </c>
      <c r="I245" s="14">
        <f>data!BF71</f>
        <v>5982507.4100000001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23579</v>
      </c>
      <c r="D252" s="85">
        <f>data!BA76</f>
        <v>3589</v>
      </c>
      <c r="E252" s="85">
        <f>data!BB76</f>
        <v>0</v>
      </c>
      <c r="F252" s="85">
        <f>data!BC76</f>
        <v>0</v>
      </c>
      <c r="G252" s="85">
        <f>data!BD76</f>
        <v>9077</v>
      </c>
      <c r="H252" s="85">
        <f>data!BE76</f>
        <v>679195</v>
      </c>
      <c r="I252" s="85">
        <f>data!BF76</f>
        <v>9629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449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EvergreenHealth Kirkland / King Country Public Hos #2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17.82740900383142</v>
      </c>
      <c r="D266" s="26">
        <f>data!BH60</f>
        <v>119.859372605364</v>
      </c>
      <c r="E266" s="26">
        <f>data!BI60</f>
        <v>57.813984674329504</v>
      </c>
      <c r="F266" s="26">
        <f>data!BJ60</f>
        <v>17.479870689655172</v>
      </c>
      <c r="G266" s="26">
        <f>data!BK60</f>
        <v>85.16873563218391</v>
      </c>
      <c r="H266" s="26">
        <f>data!BL60</f>
        <v>72.774295977011505</v>
      </c>
      <c r="I266" s="26">
        <f>data!BM60</f>
        <v>35.539324712643676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1059214.78</v>
      </c>
      <c r="D267" s="14">
        <f>data!BH61</f>
        <v>13231919.719999999</v>
      </c>
      <c r="E267" s="14">
        <f>data!BI61</f>
        <v>5509727.0999999987</v>
      </c>
      <c r="F267" s="14">
        <f>data!BJ61</f>
        <v>1454062.1099999999</v>
      </c>
      <c r="G267" s="14">
        <f>data!BK61</f>
        <v>4874187.75</v>
      </c>
      <c r="H267" s="14">
        <f>data!BL61</f>
        <v>3859479.02</v>
      </c>
      <c r="I267" s="14">
        <f>data!BM61</f>
        <v>3142779.3699999996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310742</v>
      </c>
      <c r="D268" s="14">
        <f>data!BH62</f>
        <v>2911016</v>
      </c>
      <c r="E268" s="14">
        <f>data!BI62</f>
        <v>436089</v>
      </c>
      <c r="F268" s="14">
        <f>data!BJ62</f>
        <v>386281</v>
      </c>
      <c r="G268" s="14">
        <f>data!BK62</f>
        <v>1528603</v>
      </c>
      <c r="H268" s="14">
        <f>data!BL62</f>
        <v>1306572</v>
      </c>
      <c r="I268" s="14">
        <f>data!BM62</f>
        <v>893768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3886</v>
      </c>
      <c r="D269" s="14">
        <f>data!BH63</f>
        <v>0</v>
      </c>
      <c r="E269" s="14">
        <f>data!BI63</f>
        <v>675481.82</v>
      </c>
      <c r="F269" s="14">
        <f>data!BJ63</f>
        <v>81218.63</v>
      </c>
      <c r="G269" s="14">
        <f>data!BK63</f>
        <v>328947.5</v>
      </c>
      <c r="H269" s="14">
        <f>data!BL63</f>
        <v>1824.19</v>
      </c>
      <c r="I269" s="14">
        <f>data!BM63</f>
        <v>60000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133319.34</v>
      </c>
      <c r="D270" s="14">
        <f>data!BH64</f>
        <v>1220773.57</v>
      </c>
      <c r="E270" s="14">
        <f>data!BI64</f>
        <v>4404886.0100000007</v>
      </c>
      <c r="F270" s="14">
        <f>data!BJ64</f>
        <v>14357.029999999999</v>
      </c>
      <c r="G270" s="14">
        <f>data!BK64</f>
        <v>80023.839999999982</v>
      </c>
      <c r="H270" s="14">
        <f>data!BL64</f>
        <v>42535.19</v>
      </c>
      <c r="I270" s="14">
        <f>data!BM64</f>
        <v>29573.079999999998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1179991.72</v>
      </c>
      <c r="D271" s="14">
        <f>data!BH65</f>
        <v>4139.07</v>
      </c>
      <c r="E271" s="14">
        <f>data!BI65</f>
        <v>1487.44</v>
      </c>
      <c r="F271" s="14">
        <f>data!BJ65</f>
        <v>0</v>
      </c>
      <c r="G271" s="14">
        <f>data!BK65</f>
        <v>1012.55</v>
      </c>
      <c r="H271" s="14">
        <f>data!BL65</f>
        <v>670.9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202479.85</v>
      </c>
      <c r="D272" s="14">
        <f>data!BH66</f>
        <v>12170934.75</v>
      </c>
      <c r="E272" s="14">
        <f>data!BI66</f>
        <v>1983108.2299999997</v>
      </c>
      <c r="F272" s="14">
        <f>data!BJ66</f>
        <v>69969.56</v>
      </c>
      <c r="G272" s="14">
        <f>data!BK66</f>
        <v>2863308.17</v>
      </c>
      <c r="H272" s="14">
        <f>data!BL66</f>
        <v>493849.47</v>
      </c>
      <c r="I272" s="14">
        <f>data!BM66</f>
        <v>665578.74999999988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25438</v>
      </c>
      <c r="D273" s="14">
        <f>data!BH67</f>
        <v>5630224</v>
      </c>
      <c r="E273" s="14">
        <f>data!BI67</f>
        <v>188525</v>
      </c>
      <c r="F273" s="14">
        <f>data!BJ67</f>
        <v>20640</v>
      </c>
      <c r="G273" s="14">
        <f>data!BK67</f>
        <v>59335</v>
      </c>
      <c r="H273" s="14">
        <f>data!BL67</f>
        <v>28351</v>
      </c>
      <c r="I273" s="14">
        <f>data!BM67</f>
        <v>18004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9527.4699999999993</v>
      </c>
      <c r="D274" s="14">
        <f>data!BH68</f>
        <v>0</v>
      </c>
      <c r="E274" s="14">
        <f>data!BI68</f>
        <v>1250676.6499999999</v>
      </c>
      <c r="F274" s="14">
        <f>data!BJ68</f>
        <v>0</v>
      </c>
      <c r="G274" s="14">
        <f>data!BK68</f>
        <v>24184.39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529.88</v>
      </c>
      <c r="D275" s="14">
        <f>data!BH69</f>
        <v>44888.58</v>
      </c>
      <c r="E275" s="14">
        <f>data!BI69</f>
        <v>13505.57</v>
      </c>
      <c r="F275" s="14">
        <f>data!BJ69</f>
        <v>3053.4</v>
      </c>
      <c r="G275" s="14">
        <f>data!BK69</f>
        <v>2990.91</v>
      </c>
      <c r="H275" s="14">
        <f>data!BL69</f>
        <v>1068.76</v>
      </c>
      <c r="I275" s="14">
        <f>data!BM69</f>
        <v>23775.29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-304515.5</v>
      </c>
      <c r="D276" s="14">
        <f>-data!BH70</f>
        <v>-94262.31</v>
      </c>
      <c r="E276" s="14">
        <f>-data!BI70</f>
        <v>-2194638.06</v>
      </c>
      <c r="F276" s="14">
        <f>-data!BJ70</f>
        <v>-170477.17</v>
      </c>
      <c r="G276" s="14">
        <f>-data!BK70</f>
        <v>-12815</v>
      </c>
      <c r="H276" s="14">
        <f>-data!BL70</f>
        <v>-415604.79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2620613.54</v>
      </c>
      <c r="D277" s="14">
        <f>data!BH71</f>
        <v>35119633.379999995</v>
      </c>
      <c r="E277" s="14">
        <f>data!BI71</f>
        <v>12268848.76</v>
      </c>
      <c r="F277" s="14">
        <f>data!BJ71</f>
        <v>1859104.5599999998</v>
      </c>
      <c r="G277" s="14">
        <f>data!BK71</f>
        <v>9749778.1099999994</v>
      </c>
      <c r="H277" s="14">
        <f>data!BL71</f>
        <v>5318745.74</v>
      </c>
      <c r="I277" s="14">
        <f>data!BM71</f>
        <v>4833478.4899999993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5077</v>
      </c>
      <c r="D284" s="85">
        <f>data!BH76</f>
        <v>24834</v>
      </c>
      <c r="E284" s="85">
        <f>data!BI76</f>
        <v>26210</v>
      </c>
      <c r="F284" s="85">
        <f>data!BJ76</f>
        <v>4555</v>
      </c>
      <c r="G284" s="85">
        <f>data!BK76</f>
        <v>11014</v>
      </c>
      <c r="H284" s="85">
        <f>data!BL76</f>
        <v>5010</v>
      </c>
      <c r="I284" s="85">
        <f>data!BM76</f>
        <v>4678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3105</v>
      </c>
      <c r="E286" s="85">
        <f>data!BI78</f>
        <v>3278</v>
      </c>
      <c r="F286" s="213" t="str">
        <f>IF(data!BJ78&gt;0,data!BJ78,"")</f>
        <v>x</v>
      </c>
      <c r="G286" s="85">
        <f>data!BK78</f>
        <v>1377</v>
      </c>
      <c r="H286" s="85">
        <f>data!BL78</f>
        <v>627</v>
      </c>
      <c r="I286" s="85">
        <f>data!BM78</f>
        <v>585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28201.16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EvergreenHealth Kirkland / King Country Public Hos #2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23.002705938697314</v>
      </c>
      <c r="D298" s="26">
        <f>data!BO60</f>
        <v>7.7939463601532575</v>
      </c>
      <c r="E298" s="26">
        <f>data!BP60</f>
        <v>8.3606273946360137</v>
      </c>
      <c r="F298" s="26">
        <f>data!BQ60</f>
        <v>4.3661015325670496</v>
      </c>
      <c r="G298" s="26">
        <f>data!BR60</f>
        <v>29.209506704980843</v>
      </c>
      <c r="H298" s="26">
        <f>data!BS60</f>
        <v>4.5144588122605365</v>
      </c>
      <c r="I298" s="26">
        <f>data!BT60</f>
        <v>1.7583620689655173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5988293.7699999996</v>
      </c>
      <c r="D299" s="14">
        <f>data!BO61</f>
        <v>927811.92999999993</v>
      </c>
      <c r="E299" s="14">
        <f>data!BP61</f>
        <v>872536.24000000011</v>
      </c>
      <c r="F299" s="14">
        <f>data!BQ61</f>
        <v>522785.03999999992</v>
      </c>
      <c r="G299" s="14">
        <f>data!BR61</f>
        <v>2210622.85</v>
      </c>
      <c r="H299" s="14">
        <f>data!BS61</f>
        <v>284734.28000000003</v>
      </c>
      <c r="I299" s="14">
        <f>data!BT61</f>
        <v>126161.60000000001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1016450</v>
      </c>
      <c r="D300" s="14">
        <f>data!BO62</f>
        <v>176258</v>
      </c>
      <c r="E300" s="14">
        <f>data!BP62</f>
        <v>304716</v>
      </c>
      <c r="F300" s="14">
        <f>data!BQ62</f>
        <v>117533</v>
      </c>
      <c r="G300" s="14">
        <f>data!BR62</f>
        <v>805516</v>
      </c>
      <c r="H300" s="14">
        <f>data!BS62</f>
        <v>81637</v>
      </c>
      <c r="I300" s="14">
        <f>data!BT62</f>
        <v>53256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2219577.4700000002</v>
      </c>
      <c r="D301" s="14">
        <f>data!BO63</f>
        <v>401.01</v>
      </c>
      <c r="E301" s="14">
        <f>data!BP63</f>
        <v>397319.63</v>
      </c>
      <c r="F301" s="14">
        <f>data!BQ63</f>
        <v>0</v>
      </c>
      <c r="G301" s="14">
        <f>data!BR63</f>
        <v>1129082.6499999999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21448.41</v>
      </c>
      <c r="D302" s="14">
        <f>data!BO64</f>
        <v>86518.18</v>
      </c>
      <c r="E302" s="14">
        <f>data!BP64</f>
        <v>215531.91999999998</v>
      </c>
      <c r="F302" s="14">
        <f>data!BQ64</f>
        <v>4351.68</v>
      </c>
      <c r="G302" s="14">
        <f>data!BR64</f>
        <v>31985.730000000003</v>
      </c>
      <c r="H302" s="14">
        <f>data!BS64</f>
        <v>272119.10000000003</v>
      </c>
      <c r="I302" s="14">
        <f>data!BT64</f>
        <v>586.82000000000005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403.32</v>
      </c>
      <c r="F303" s="14">
        <f>data!BQ65</f>
        <v>0</v>
      </c>
      <c r="G303" s="14">
        <f>data!BR65</f>
        <v>0</v>
      </c>
      <c r="H303" s="14">
        <f>data!BS65</f>
        <v>1171.5</v>
      </c>
      <c r="I303" s="14">
        <f>data!BT65</f>
        <v>3261.75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354412.33</v>
      </c>
      <c r="D304" s="14">
        <f>data!BO66</f>
        <v>43244.39</v>
      </c>
      <c r="E304" s="14">
        <f>data!BP66</f>
        <v>3961781.4999999995</v>
      </c>
      <c r="F304" s="14">
        <f>data!BQ66</f>
        <v>5340.2900000000009</v>
      </c>
      <c r="G304" s="14">
        <f>data!BR66</f>
        <v>600585.81999999995</v>
      </c>
      <c r="H304" s="14">
        <f>data!BS66</f>
        <v>10834.71</v>
      </c>
      <c r="I304" s="14">
        <f>data!BT66</f>
        <v>502.13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228752</v>
      </c>
      <c r="D305" s="14">
        <f>data!BO67</f>
        <v>46835</v>
      </c>
      <c r="E305" s="14">
        <f>data!BP67</f>
        <v>75168</v>
      </c>
      <c r="F305" s="14">
        <f>data!BQ67</f>
        <v>4095</v>
      </c>
      <c r="G305" s="14">
        <f>data!BR67</f>
        <v>11447</v>
      </c>
      <c r="H305" s="14">
        <f>data!BS67</f>
        <v>16972</v>
      </c>
      <c r="I305" s="14">
        <f>data!BT67</f>
        <v>20494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150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816533.99</v>
      </c>
      <c r="D307" s="14">
        <f>data!BO69</f>
        <v>1232.6100000000001</v>
      </c>
      <c r="E307" s="14">
        <f>data!BP69</f>
        <v>17859.809999999998</v>
      </c>
      <c r="F307" s="14">
        <f>data!BQ69</f>
        <v>1383.5</v>
      </c>
      <c r="G307" s="14">
        <f>data!BR69</f>
        <v>25815.81</v>
      </c>
      <c r="H307" s="14">
        <f>data!BS69</f>
        <v>0</v>
      </c>
      <c r="I307" s="14">
        <f>data!BT69</f>
        <v>280.51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-230</v>
      </c>
      <c r="E308" s="14">
        <f>-data!BP70</f>
        <v>0</v>
      </c>
      <c r="F308" s="14">
        <f>-data!BQ70</f>
        <v>0</v>
      </c>
      <c r="G308" s="14">
        <f>-data!BR70</f>
        <v>-41.78</v>
      </c>
      <c r="H308" s="14">
        <f>-data!BS70</f>
        <v>-458882.5</v>
      </c>
      <c r="I308" s="14">
        <f>-data!BT70</f>
        <v>-48.96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10645467.970000001</v>
      </c>
      <c r="D309" s="14">
        <f>data!BO71</f>
        <v>1282071.1199999999</v>
      </c>
      <c r="E309" s="14">
        <f>data!BP71</f>
        <v>5845316.419999999</v>
      </c>
      <c r="F309" s="14">
        <f>data!BQ71</f>
        <v>655488.51</v>
      </c>
      <c r="G309" s="14">
        <f>data!BR71</f>
        <v>4815164.0799999991</v>
      </c>
      <c r="H309" s="14">
        <f>data!BS71</f>
        <v>208586.09000000008</v>
      </c>
      <c r="I309" s="14">
        <f>data!BT71</f>
        <v>204493.85000000003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14258</v>
      </c>
      <c r="D316" s="85">
        <f>data!BO76</f>
        <v>2082</v>
      </c>
      <c r="E316" s="85">
        <f>data!BP76</f>
        <v>1894</v>
      </c>
      <c r="F316" s="85">
        <f>data!BQ76</f>
        <v>1677</v>
      </c>
      <c r="G316" s="85">
        <f>data!BR76</f>
        <v>3400</v>
      </c>
      <c r="H316" s="85">
        <f>data!BS76</f>
        <v>5109</v>
      </c>
      <c r="I316" s="85">
        <f>data!BT76</f>
        <v>947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639</v>
      </c>
      <c r="I318" s="85">
        <f>data!BT78</f>
        <v>118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EvergreenHealth Kirkland / King Country Public Hos #2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53.146944444444451</v>
      </c>
      <c r="E330" s="26">
        <f>data!BW60</f>
        <v>7.7655411877394638</v>
      </c>
      <c r="F330" s="26">
        <f>data!BX60</f>
        <v>51.284008620689654</v>
      </c>
      <c r="G330" s="26">
        <f>data!BY60</f>
        <v>12.06786877394636</v>
      </c>
      <c r="H330" s="26">
        <f>data!BZ60</f>
        <v>45.083405172413798</v>
      </c>
      <c r="I330" s="26">
        <f>data!CA60</f>
        <v>14.781901340996168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146.9</v>
      </c>
      <c r="D331" s="86">
        <f>data!BV61</f>
        <v>3465444.4800000004</v>
      </c>
      <c r="E331" s="86">
        <f>data!BW61</f>
        <v>1398031.34</v>
      </c>
      <c r="F331" s="86">
        <f>data!BX61</f>
        <v>5759774.1100000003</v>
      </c>
      <c r="G331" s="86">
        <f>data!BY61</f>
        <v>1181073.06</v>
      </c>
      <c r="H331" s="86">
        <f>data!BZ61</f>
        <v>4019580.18</v>
      </c>
      <c r="I331" s="86">
        <f>data!CA61</f>
        <v>1483295.7099999997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1116111</v>
      </c>
      <c r="E332" s="86">
        <f>data!BW62</f>
        <v>153926</v>
      </c>
      <c r="F332" s="86">
        <f>data!BX62</f>
        <v>1305348</v>
      </c>
      <c r="G332" s="86">
        <f>data!BY62</f>
        <v>345927</v>
      </c>
      <c r="H332" s="86">
        <f>data!BZ62</f>
        <v>1404739</v>
      </c>
      <c r="I332" s="86">
        <f>data!CA62</f>
        <v>362051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1767208.38</v>
      </c>
      <c r="F333" s="86">
        <f>data!BX63</f>
        <v>479352.18000000005</v>
      </c>
      <c r="G333" s="86">
        <f>data!BY63</f>
        <v>40000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12262.25</v>
      </c>
      <c r="E334" s="86">
        <f>data!BW64</f>
        <v>9672.5700000000015</v>
      </c>
      <c r="F334" s="86">
        <f>data!BX64</f>
        <v>31145.279999999999</v>
      </c>
      <c r="G334" s="86">
        <f>data!BY64</f>
        <v>6370.44</v>
      </c>
      <c r="H334" s="86">
        <f>data!BZ64</f>
        <v>14011.289999999997</v>
      </c>
      <c r="I334" s="86">
        <f>data!CA64</f>
        <v>223537.18999999997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2404.96</v>
      </c>
      <c r="G335" s="86">
        <f>data!BY65</f>
        <v>1694.9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1330802.8400000001</v>
      </c>
      <c r="E336" s="86">
        <f>data!BW66</f>
        <v>301652.53000000003</v>
      </c>
      <c r="F336" s="86">
        <f>data!BX66</f>
        <v>344570.6</v>
      </c>
      <c r="G336" s="86">
        <f>data!BY66</f>
        <v>24414.03</v>
      </c>
      <c r="H336" s="86">
        <f>data!BZ66</f>
        <v>630.70000000000005</v>
      </c>
      <c r="I336" s="86">
        <f>data!CA66</f>
        <v>229508.59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69022</v>
      </c>
      <c r="E337" s="86">
        <f>data!BW67</f>
        <v>23861</v>
      </c>
      <c r="F337" s="86">
        <f>data!BX67</f>
        <v>16059</v>
      </c>
      <c r="G337" s="86">
        <f>data!BY67</f>
        <v>269177</v>
      </c>
      <c r="H337" s="86">
        <f>data!BZ67</f>
        <v>10052</v>
      </c>
      <c r="I337" s="86">
        <f>data!CA67</f>
        <v>5112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69016.39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5500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293508.33</v>
      </c>
      <c r="D339" s="86">
        <f>data!BV69</f>
        <v>6901.8</v>
      </c>
      <c r="E339" s="86">
        <f>data!BW69</f>
        <v>17453.650000000001</v>
      </c>
      <c r="F339" s="86">
        <f>data!BX69</f>
        <v>34895.18</v>
      </c>
      <c r="G339" s="86">
        <f>data!BY69</f>
        <v>12261.65</v>
      </c>
      <c r="H339" s="86">
        <f>data!BZ69</f>
        <v>463</v>
      </c>
      <c r="I339" s="86">
        <f>data!CA69</f>
        <v>394398.52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-15000</v>
      </c>
      <c r="D340" s="14">
        <f>-data!BV70</f>
        <v>-1290.44</v>
      </c>
      <c r="E340" s="14">
        <f>-data!BW70</f>
        <v>-116410</v>
      </c>
      <c r="F340" s="14">
        <f>-data!BX70</f>
        <v>-847145.68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278655.23000000004</v>
      </c>
      <c r="D341" s="14">
        <f>data!BV71</f>
        <v>6068270.3199999994</v>
      </c>
      <c r="E341" s="14">
        <f>data!BW71</f>
        <v>3555395.4699999993</v>
      </c>
      <c r="F341" s="14">
        <f>data!BX71</f>
        <v>7126403.6299999999</v>
      </c>
      <c r="G341" s="14">
        <f>data!BY71</f>
        <v>1880918.0799999998</v>
      </c>
      <c r="H341" s="14">
        <f>data!BZ71</f>
        <v>5449476.1699999999</v>
      </c>
      <c r="I341" s="14">
        <f>data!CA71</f>
        <v>2703403.01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17194</v>
      </c>
      <c r="E348" s="85">
        <f>data!BW76</f>
        <v>3446</v>
      </c>
      <c r="F348" s="85">
        <f>data!BX76</f>
        <v>3549</v>
      </c>
      <c r="G348" s="85">
        <f>data!BY76</f>
        <v>1319</v>
      </c>
      <c r="H348" s="85">
        <f>data!BZ76</f>
        <v>0</v>
      </c>
      <c r="I348" s="85">
        <f>data!CA76</f>
        <v>5571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2150</v>
      </c>
      <c r="E350" s="85">
        <f>data!BW78</f>
        <v>431</v>
      </c>
      <c r="F350" s="85">
        <f>data!BX78</f>
        <v>444</v>
      </c>
      <c r="G350" s="85">
        <f>data!BY78</f>
        <v>165</v>
      </c>
      <c r="H350" s="85">
        <f>data!BZ78</f>
        <v>0</v>
      </c>
      <c r="I350" s="85">
        <f>data!CA78</f>
        <v>697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EvergreenHealth Kirkland / King Country Public Hos #2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70.238735632183918</v>
      </c>
      <c r="D362" s="26">
        <f>data!CC60</f>
        <v>44.014616858237545</v>
      </c>
      <c r="E362" s="217"/>
      <c r="F362" s="211"/>
      <c r="G362" s="211"/>
      <c r="H362" s="211"/>
      <c r="I362" s="87">
        <f>data!CE60</f>
        <v>3776.9151963601539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5442968.7700000005</v>
      </c>
      <c r="D363" s="86">
        <f>data!CC61</f>
        <v>5593137.4899999993</v>
      </c>
      <c r="E363" s="218"/>
      <c r="F363" s="219"/>
      <c r="G363" s="219"/>
      <c r="H363" s="219"/>
      <c r="I363" s="86">
        <f>data!CE61</f>
        <v>396802109.25999999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1514611</v>
      </c>
      <c r="D364" s="86">
        <f>data!CC62</f>
        <v>1023909</v>
      </c>
      <c r="E364" s="218"/>
      <c r="F364" s="219"/>
      <c r="G364" s="219"/>
      <c r="H364" s="219"/>
      <c r="I364" s="86">
        <f>data!CE62</f>
        <v>92499077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412.5</v>
      </c>
      <c r="D365" s="86">
        <f>data!CC63</f>
        <v>536129.77</v>
      </c>
      <c r="E365" s="218"/>
      <c r="F365" s="219"/>
      <c r="G365" s="219"/>
      <c r="H365" s="219"/>
      <c r="I365" s="86">
        <f>data!CE63</f>
        <v>18767519.540000003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58013.75</v>
      </c>
      <c r="D366" s="86">
        <f>data!CC64</f>
        <v>-1973054.86</v>
      </c>
      <c r="E366" s="218"/>
      <c r="F366" s="219"/>
      <c r="G366" s="219"/>
      <c r="H366" s="219"/>
      <c r="I366" s="86">
        <f>data!CE64</f>
        <v>104115543.92000002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15577.630000000001</v>
      </c>
      <c r="D367" s="86">
        <f>data!CC65</f>
        <v>28125.5</v>
      </c>
      <c r="E367" s="218"/>
      <c r="F367" s="219"/>
      <c r="G367" s="219"/>
      <c r="H367" s="219"/>
      <c r="I367" s="86">
        <f>data!CE65</f>
        <v>6254681.330000001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124008.62999999999</v>
      </c>
      <c r="D368" s="86">
        <f>data!CC66</f>
        <v>10591407.620000001</v>
      </c>
      <c r="E368" s="218"/>
      <c r="F368" s="219"/>
      <c r="G368" s="219"/>
      <c r="H368" s="219"/>
      <c r="I368" s="86">
        <f>data!CE66</f>
        <v>64724254.180000022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34354</v>
      </c>
      <c r="D369" s="86">
        <f>data!CC67</f>
        <v>68397</v>
      </c>
      <c r="E369" s="218"/>
      <c r="F369" s="219"/>
      <c r="G369" s="219"/>
      <c r="H369" s="219"/>
      <c r="I369" s="86">
        <f>data!CE67</f>
        <v>35828142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141178.56</v>
      </c>
      <c r="D370" s="86">
        <f>data!CC68</f>
        <v>1170</v>
      </c>
      <c r="E370" s="218"/>
      <c r="F370" s="219"/>
      <c r="G370" s="219"/>
      <c r="H370" s="219"/>
      <c r="I370" s="86">
        <f>data!CE68</f>
        <v>15464105.580000004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3188.14</v>
      </c>
      <c r="D371" s="86">
        <f>data!CC69</f>
        <v>4054403.21</v>
      </c>
      <c r="E371" s="86">
        <f>data!CD69</f>
        <v>9163002.3599999994</v>
      </c>
      <c r="F371" s="219"/>
      <c r="G371" s="219"/>
      <c r="H371" s="219"/>
      <c r="I371" s="86">
        <f>data!CE69</f>
        <v>19397075.75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-1483854.17</v>
      </c>
      <c r="D372" s="14">
        <f>-data!CC70</f>
        <v>-12725051.5</v>
      </c>
      <c r="E372" s="229">
        <f>data!CD70</f>
        <v>1597765.99</v>
      </c>
      <c r="F372" s="220"/>
      <c r="G372" s="220"/>
      <c r="H372" s="220"/>
      <c r="I372" s="14">
        <f>-data!CE70</f>
        <v>-47000825.919999994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5850458.8099999996</v>
      </c>
      <c r="D373" s="86">
        <f>data!CC71</f>
        <v>7198573.2300000004</v>
      </c>
      <c r="E373" s="86">
        <f>data!CD71</f>
        <v>7565236.3699999992</v>
      </c>
      <c r="F373" s="219"/>
      <c r="G373" s="219"/>
      <c r="H373" s="219"/>
      <c r="I373" s="14">
        <f>data!CE71</f>
        <v>706851682.64000022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806347253.38999987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1098178162.3000002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1904525415.6900003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4031</v>
      </c>
      <c r="D380" s="85">
        <f>data!CC76</f>
        <v>7876</v>
      </c>
      <c r="E380" s="214"/>
      <c r="F380" s="211"/>
      <c r="G380" s="211"/>
      <c r="H380" s="211"/>
      <c r="I380" s="14">
        <f>data!CE76</f>
        <v>1605304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198262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506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105453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2375724.7999999998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939.05448659003832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2021-06-28T17:42:26Z</cp:lastPrinted>
  <dcterms:created xsi:type="dcterms:W3CDTF">1999-06-02T22:01:56Z</dcterms:created>
  <dcterms:modified xsi:type="dcterms:W3CDTF">2021-06-30T15:10:27Z</dcterms:modified>
</cp:coreProperties>
</file>