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4686515F-B2A0-4F8D-9CB6-FE87E3013F4B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8" i="1" l="1"/>
  <c r="C111" i="1"/>
  <c r="B147" i="1"/>
  <c r="AY70" i="1" l="1"/>
  <c r="AZ70" i="1"/>
  <c r="AE59" i="1"/>
  <c r="B139" i="1" l="1"/>
  <c r="AG80" i="1"/>
  <c r="P80" i="1"/>
  <c r="O80" i="1"/>
  <c r="E80" i="1"/>
  <c r="C80" i="1"/>
  <c r="AZ59" i="1" l="1"/>
  <c r="AG77" i="1"/>
  <c r="P77" i="1"/>
  <c r="O77" i="1"/>
  <c r="E77" i="1"/>
  <c r="C77" i="1"/>
  <c r="AZ77" i="1" l="1"/>
  <c r="B141" i="1" l="1"/>
  <c r="D213" i="1" l="1"/>
  <c r="D210" i="1"/>
  <c r="C213" i="1"/>
  <c r="C200" i="1"/>
  <c r="C197" i="1"/>
  <c r="D200" i="1" l="1"/>
  <c r="E63" i="1"/>
  <c r="BN63" i="1"/>
  <c r="C172" i="1"/>
  <c r="D140" i="1" l="1"/>
  <c r="C157" i="1"/>
  <c r="B157" i="1"/>
  <c r="D142" i="1"/>
  <c r="D141" i="1"/>
  <c r="C142" i="1"/>
  <c r="C141" i="1"/>
  <c r="B142" i="1"/>
  <c r="AG69" i="1"/>
  <c r="E69" i="1"/>
  <c r="S64" i="1"/>
  <c r="C188" i="1"/>
  <c r="CD70" i="1"/>
  <c r="W66" i="1"/>
  <c r="AB65" i="1"/>
  <c r="E61" i="1"/>
  <c r="E74" i="1"/>
  <c r="E73" i="1"/>
  <c r="C269" i="1"/>
  <c r="C272" i="1"/>
  <c r="C270" i="1"/>
  <c r="E79" i="1"/>
  <c r="AC59" i="1" l="1"/>
  <c r="Y59" i="1"/>
  <c r="R59" i="1"/>
  <c r="D111" i="1"/>
  <c r="E59" i="1"/>
  <c r="BN60" i="1" l="1"/>
  <c r="BR60" i="1" l="1"/>
  <c r="AE60" i="1"/>
  <c r="BH60" i="1"/>
  <c r="BX60" i="1"/>
  <c r="BW60" i="1"/>
  <c r="BK60" i="1"/>
  <c r="BD60" i="1"/>
  <c r="BB60" i="1"/>
  <c r="AY60" i="1"/>
  <c r="AY61" i="1"/>
  <c r="AG60" i="1"/>
  <c r="AC60" i="1"/>
  <c r="Y60" i="1"/>
  <c r="P60" i="1"/>
  <c r="E60" i="1"/>
  <c r="C253" i="1" l="1"/>
  <c r="C228" i="1"/>
  <c r="C238" i="1"/>
  <c r="C226" i="1"/>
  <c r="C234" i="1"/>
  <c r="D196" i="1"/>
  <c r="C184" i="1"/>
  <c r="C183" i="1"/>
  <c r="C168" i="1"/>
  <c r="C392" i="1"/>
  <c r="BH69" i="1" l="1"/>
  <c r="BH66" i="1"/>
  <c r="BH65" i="1"/>
  <c r="BH64" i="1"/>
  <c r="BH61" i="1"/>
  <c r="BW70" i="1"/>
  <c r="BW69" i="1"/>
  <c r="BW66" i="1"/>
  <c r="BW65" i="1"/>
  <c r="BW64" i="1"/>
  <c r="BW63" i="1"/>
  <c r="BW61" i="1"/>
  <c r="BR69" i="1"/>
  <c r="BR66" i="1"/>
  <c r="BR61" i="1"/>
  <c r="AV69" i="1"/>
  <c r="AV64" i="1"/>
  <c r="AV70" i="1"/>
  <c r="AV61" i="1"/>
  <c r="BN69" i="1"/>
  <c r="BK69" i="1"/>
  <c r="BK66" i="1"/>
  <c r="BK64" i="1"/>
  <c r="BK63" i="1"/>
  <c r="BK61" i="1"/>
  <c r="BB65" i="1"/>
  <c r="BB61" i="1"/>
  <c r="AY69" i="1"/>
  <c r="AY66" i="1"/>
  <c r="AY64" i="1"/>
  <c r="AG74" i="1"/>
  <c r="AG73" i="1"/>
  <c r="AG66" i="1"/>
  <c r="AG65" i="1"/>
  <c r="AG64" i="1"/>
  <c r="AG61" i="1"/>
  <c r="AE69" i="1"/>
  <c r="AE64" i="1"/>
  <c r="AE61" i="1"/>
  <c r="AE70" i="1"/>
  <c r="AE74" i="1"/>
  <c r="AC64" i="1"/>
  <c r="AC74" i="1"/>
  <c r="AC61" i="1"/>
  <c r="AC63" i="1"/>
  <c r="AB69" i="1"/>
  <c r="AB66" i="1"/>
  <c r="AB64" i="1"/>
  <c r="AB63" i="1"/>
  <c r="AB70" i="1"/>
  <c r="CC76" i="1"/>
  <c r="P76" i="1"/>
  <c r="Y66" i="1"/>
  <c r="Y64" i="1"/>
  <c r="Y61" i="1"/>
  <c r="Y74" i="1"/>
  <c r="Y73" i="1"/>
  <c r="Y69" i="1"/>
  <c r="Y63" i="1"/>
  <c r="U64" i="1" l="1"/>
  <c r="U74" i="1"/>
  <c r="U73" i="1"/>
  <c r="S74" i="1"/>
  <c r="S73" i="1"/>
  <c r="P69" i="1"/>
  <c r="P68" i="1"/>
  <c r="P66" i="1"/>
  <c r="P65" i="1"/>
  <c r="P64" i="1"/>
  <c r="P61" i="1"/>
  <c r="P74" i="1"/>
  <c r="P73" i="1"/>
  <c r="E66" i="1"/>
  <c r="E64" i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D545" i="10"/>
  <c r="B545" i="10"/>
  <c r="D544" i="10"/>
  <c r="B544" i="10"/>
  <c r="F544" i="10" s="1"/>
  <c r="B543" i="10"/>
  <c r="B542" i="10"/>
  <c r="B541" i="10"/>
  <c r="E540" i="10"/>
  <c r="D540" i="10"/>
  <c r="B540" i="10"/>
  <c r="H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H537" i="10" s="1"/>
  <c r="E536" i="10"/>
  <c r="D536" i="10"/>
  <c r="B536" i="10"/>
  <c r="H536" i="10" s="1"/>
  <c r="E535" i="10"/>
  <c r="D535" i="10"/>
  <c r="B535" i="10"/>
  <c r="F535" i="10" s="1"/>
  <c r="E534" i="10"/>
  <c r="D534" i="10"/>
  <c r="B534" i="10"/>
  <c r="F534" i="10" s="1"/>
  <c r="E533" i="10"/>
  <c r="D533" i="10"/>
  <c r="B533" i="10"/>
  <c r="H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F530" i="10" s="1"/>
  <c r="E529" i="10"/>
  <c r="D529" i="10"/>
  <c r="B529" i="10"/>
  <c r="E528" i="10"/>
  <c r="D528" i="10"/>
  <c r="B528" i="10"/>
  <c r="F528" i="10" s="1"/>
  <c r="E527" i="10"/>
  <c r="D527" i="10"/>
  <c r="B527" i="10"/>
  <c r="F527" i="10" s="1"/>
  <c r="E526" i="10"/>
  <c r="D526" i="10"/>
  <c r="B526" i="10"/>
  <c r="E525" i="10"/>
  <c r="D525" i="10"/>
  <c r="B525" i="10"/>
  <c r="H525" i="10" s="1"/>
  <c r="D524" i="10"/>
  <c r="B524" i="10"/>
  <c r="F524" i="10" s="1"/>
  <c r="E523" i="10"/>
  <c r="D523" i="10"/>
  <c r="B523" i="10"/>
  <c r="F523" i="10" s="1"/>
  <c r="D522" i="10"/>
  <c r="B522" i="10"/>
  <c r="B521" i="10"/>
  <c r="F521" i="10" s="1"/>
  <c r="D520" i="10"/>
  <c r="B520" i="10"/>
  <c r="F520" i="10" s="1"/>
  <c r="E519" i="10"/>
  <c r="D519" i="10"/>
  <c r="B519" i="10"/>
  <c r="H519" i="10" s="1"/>
  <c r="D518" i="10"/>
  <c r="B518" i="10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D511" i="10"/>
  <c r="B511" i="10"/>
  <c r="E510" i="10"/>
  <c r="D510" i="10"/>
  <c r="B510" i="10"/>
  <c r="E509" i="10"/>
  <c r="D509" i="10"/>
  <c r="B509" i="10"/>
  <c r="E508" i="10"/>
  <c r="D508" i="10"/>
  <c r="B508" i="10"/>
  <c r="E507" i="10"/>
  <c r="D507" i="10"/>
  <c r="B507" i="10"/>
  <c r="H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3" i="10" s="1"/>
  <c r="E502" i="10"/>
  <c r="D502" i="10"/>
  <c r="B502" i="10"/>
  <c r="F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H499" i="10" s="1"/>
  <c r="D498" i="10"/>
  <c r="B498" i="10"/>
  <c r="F498" i="10" s="1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2" i="10"/>
  <c r="B471" i="10"/>
  <c r="B468" i="10"/>
  <c r="B464" i="10"/>
  <c r="B463" i="10"/>
  <c r="C459" i="10"/>
  <c r="B459" i="10"/>
  <c r="B455" i="10"/>
  <c r="B454" i="10"/>
  <c r="B453" i="10"/>
  <c r="C447" i="10"/>
  <c r="C446" i="10"/>
  <c r="C445" i="10"/>
  <c r="C444" i="10"/>
  <c r="B440" i="10"/>
  <c r="B439" i="10"/>
  <c r="B437" i="10"/>
  <c r="B436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A412" i="10"/>
  <c r="C392" i="10"/>
  <c r="D390" i="10"/>
  <c r="B441" i="10" s="1"/>
  <c r="C386" i="10"/>
  <c r="B438" i="10" s="1"/>
  <c r="D372" i="10"/>
  <c r="C370" i="10"/>
  <c r="B458" i="10" s="1"/>
  <c r="D367" i="10"/>
  <c r="C448" i="10" s="1"/>
  <c r="D361" i="10"/>
  <c r="B465" i="10" s="1"/>
  <c r="D329" i="10"/>
  <c r="D328" i="10"/>
  <c r="D330" i="10" s="1"/>
  <c r="D319" i="10"/>
  <c r="D314" i="10"/>
  <c r="C305" i="10"/>
  <c r="D290" i="10"/>
  <c r="D283" i="10"/>
  <c r="C272" i="10"/>
  <c r="B473" i="10" s="1"/>
  <c r="C269" i="10"/>
  <c r="B470" i="10" s="1"/>
  <c r="C268" i="10"/>
  <c r="B469" i="10" s="1"/>
  <c r="D265" i="10"/>
  <c r="C253" i="10"/>
  <c r="D260" i="10" s="1"/>
  <c r="C238" i="10"/>
  <c r="D240" i="10" s="1"/>
  <c r="B447" i="10" s="1"/>
  <c r="C234" i="10"/>
  <c r="D236" i="10" s="1"/>
  <c r="B446" i="10" s="1"/>
  <c r="C228" i="10"/>
  <c r="C226" i="10"/>
  <c r="D229" i="10" s="1"/>
  <c r="B445" i="10" s="1"/>
  <c r="D221" i="10"/>
  <c r="B444" i="10" s="1"/>
  <c r="B217" i="10"/>
  <c r="E216" i="10"/>
  <c r="E215" i="10"/>
  <c r="E214" i="10"/>
  <c r="D213" i="10"/>
  <c r="D217" i="10" s="1"/>
  <c r="C213" i="10"/>
  <c r="E212" i="10"/>
  <c r="E211" i="10"/>
  <c r="C210" i="10"/>
  <c r="E210" i="10" s="1"/>
  <c r="E209" i="10"/>
  <c r="B204" i="10"/>
  <c r="E203" i="10"/>
  <c r="C475" i="10" s="1"/>
  <c r="E202" i="10"/>
  <c r="C474" i="10" s="1"/>
  <c r="E201" i="10"/>
  <c r="D200" i="10"/>
  <c r="D204" i="10" s="1"/>
  <c r="C200" i="10"/>
  <c r="E200" i="10" s="1"/>
  <c r="C473" i="10" s="1"/>
  <c r="E199" i="10"/>
  <c r="C472" i="10" s="1"/>
  <c r="E198" i="10"/>
  <c r="C471" i="10" s="1"/>
  <c r="C197" i="10"/>
  <c r="C204" i="10" s="1"/>
  <c r="E196" i="10"/>
  <c r="C469" i="10" s="1"/>
  <c r="E195" i="10"/>
  <c r="C189" i="10"/>
  <c r="C188" i="10"/>
  <c r="D190" i="10" s="1"/>
  <c r="D437" i="10" s="1"/>
  <c r="D186" i="10"/>
  <c r="D436" i="10" s="1"/>
  <c r="C180" i="10"/>
  <c r="D181" i="10" s="1"/>
  <c r="D435" i="10" s="1"/>
  <c r="C176" i="10"/>
  <c r="D177" i="10" s="1"/>
  <c r="D434" i="10" s="1"/>
  <c r="C172" i="10"/>
  <c r="C170" i="10"/>
  <c r="C169" i="10"/>
  <c r="C168" i="10"/>
  <c r="C167" i="10"/>
  <c r="C157" i="10"/>
  <c r="B157" i="10"/>
  <c r="E154" i="10"/>
  <c r="E153" i="10"/>
  <c r="E152" i="10"/>
  <c r="E151" i="10"/>
  <c r="C421" i="10" s="1"/>
  <c r="E150" i="10"/>
  <c r="C420" i="10" s="1"/>
  <c r="E148" i="10"/>
  <c r="D147" i="10"/>
  <c r="B147" i="10"/>
  <c r="E146" i="10"/>
  <c r="B145" i="10"/>
  <c r="E145" i="10" s="1"/>
  <c r="C418" i="10" s="1"/>
  <c r="E144" i="10"/>
  <c r="C417" i="10" s="1"/>
  <c r="D142" i="10"/>
  <c r="C142" i="10"/>
  <c r="B142" i="10"/>
  <c r="D141" i="10"/>
  <c r="C141" i="10"/>
  <c r="B141" i="10"/>
  <c r="E140" i="10"/>
  <c r="D140" i="10"/>
  <c r="E139" i="10"/>
  <c r="C415" i="10" s="1"/>
  <c r="D139" i="10"/>
  <c r="B139" i="10"/>
  <c r="D138" i="10"/>
  <c r="B138" i="10"/>
  <c r="E127" i="10"/>
  <c r="D111" i="10"/>
  <c r="B415" i="10" s="1"/>
  <c r="C111" i="10"/>
  <c r="B414" i="10" s="1"/>
  <c r="AG80" i="10"/>
  <c r="P80" i="10"/>
  <c r="O80" i="10"/>
  <c r="E80" i="10"/>
  <c r="C80" i="10"/>
  <c r="CF79" i="10"/>
  <c r="CE79" i="10"/>
  <c r="J612" i="10" s="1"/>
  <c r="Y78" i="10"/>
  <c r="P78" i="10"/>
  <c r="E78" i="10"/>
  <c r="AG77" i="10"/>
  <c r="P77" i="10"/>
  <c r="O77" i="10"/>
  <c r="E77" i="10"/>
  <c r="C77" i="10"/>
  <c r="CE76" i="10"/>
  <c r="D612" i="10" s="1"/>
  <c r="CC76" i="10"/>
  <c r="P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D75" i="10"/>
  <c r="AB75" i="10"/>
  <c r="AA75" i="10"/>
  <c r="Z75" i="10"/>
  <c r="X75" i="10"/>
  <c r="W75" i="10"/>
  <c r="V75" i="10"/>
  <c r="U75" i="10"/>
  <c r="T75" i="10"/>
  <c r="R75" i="10"/>
  <c r="Q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G74" i="10"/>
  <c r="AE74" i="10"/>
  <c r="AC74" i="10"/>
  <c r="Y74" i="10"/>
  <c r="U74" i="10"/>
  <c r="S74" i="10"/>
  <c r="P74" i="10"/>
  <c r="E74" i="10"/>
  <c r="AG73" i="10"/>
  <c r="AE73" i="10"/>
  <c r="AE75" i="10" s="1"/>
  <c r="AC73" i="10"/>
  <c r="AC75" i="10" s="1"/>
  <c r="Y73" i="10"/>
  <c r="Y75" i="10" s="1"/>
  <c r="U73" i="10"/>
  <c r="S73" i="10"/>
  <c r="S75" i="10" s="1"/>
  <c r="P73" i="10"/>
  <c r="P75" i="10" s="1"/>
  <c r="E73" i="10"/>
  <c r="BW70" i="10"/>
  <c r="BN70" i="10"/>
  <c r="BM70" i="10"/>
  <c r="BH70" i="10"/>
  <c r="AV70" i="10"/>
  <c r="AE70" i="10"/>
  <c r="AB70" i="10"/>
  <c r="Y70" i="10"/>
  <c r="CD69" i="10"/>
  <c r="BW69" i="10"/>
  <c r="BO69" i="10"/>
  <c r="BN69" i="10"/>
  <c r="BK69" i="10"/>
  <c r="BH69" i="10"/>
  <c r="BB69" i="10"/>
  <c r="AY69" i="10"/>
  <c r="AV69" i="10"/>
  <c r="AG69" i="10"/>
  <c r="AE69" i="10"/>
  <c r="AC69" i="10"/>
  <c r="AB69" i="10"/>
  <c r="Y69" i="10"/>
  <c r="P69" i="10"/>
  <c r="E69" i="10"/>
  <c r="BN68" i="10"/>
  <c r="AE68" i="10"/>
  <c r="P68" i="10"/>
  <c r="CE68" i="10" s="1"/>
  <c r="C434" i="10" s="1"/>
  <c r="BW66" i="10"/>
  <c r="BN66" i="10"/>
  <c r="BK66" i="10"/>
  <c r="BH66" i="10"/>
  <c r="AY66" i="10"/>
  <c r="AV66" i="10"/>
  <c r="AG66" i="10"/>
  <c r="AE66" i="10"/>
  <c r="AC66" i="10"/>
  <c r="AB66" i="10"/>
  <c r="Y66" i="10"/>
  <c r="P66" i="10"/>
  <c r="CE66" i="10" s="1"/>
  <c r="C432" i="10" s="1"/>
  <c r="E66" i="10"/>
  <c r="BW65" i="10"/>
  <c r="BO65" i="10"/>
  <c r="BK65" i="10"/>
  <c r="BH65" i="10"/>
  <c r="AG65" i="10"/>
  <c r="AE65" i="10"/>
  <c r="AC65" i="10"/>
  <c r="P65" i="10"/>
  <c r="BW64" i="10"/>
  <c r="BP64" i="10"/>
  <c r="BO64" i="10"/>
  <c r="BN64" i="10"/>
  <c r="BK64" i="10"/>
  <c r="BH64" i="10"/>
  <c r="AY64" i="10"/>
  <c r="AV64" i="10"/>
  <c r="AG64" i="10"/>
  <c r="AE64" i="10"/>
  <c r="AC64" i="10"/>
  <c r="AB64" i="10"/>
  <c r="Y64" i="10"/>
  <c r="U64" i="10"/>
  <c r="S64" i="10"/>
  <c r="P64" i="10"/>
  <c r="E64" i="10"/>
  <c r="BW63" i="10"/>
  <c r="BR63" i="10"/>
  <c r="BN63" i="10"/>
  <c r="BM63" i="10"/>
  <c r="BK63" i="10"/>
  <c r="AV63" i="10"/>
  <c r="AG63" i="10"/>
  <c r="AE63" i="10"/>
  <c r="AC63" i="10"/>
  <c r="AB63" i="10"/>
  <c r="Y63" i="10"/>
  <c r="U63" i="10"/>
  <c r="E63" i="10"/>
  <c r="BW61" i="10"/>
  <c r="BR61" i="10"/>
  <c r="BO61" i="10"/>
  <c r="BN61" i="10"/>
  <c r="BM61" i="10"/>
  <c r="BK61" i="10"/>
  <c r="BH61" i="10"/>
  <c r="BD61" i="10"/>
  <c r="BB61" i="10"/>
  <c r="AY61" i="10"/>
  <c r="AV61" i="10"/>
  <c r="AG61" i="10"/>
  <c r="AE61" i="10"/>
  <c r="AC61" i="10"/>
  <c r="Y61" i="10"/>
  <c r="P61" i="10"/>
  <c r="E61" i="10"/>
  <c r="C61" i="10"/>
  <c r="BW60" i="10"/>
  <c r="BR60" i="10"/>
  <c r="BO60" i="10"/>
  <c r="BK60" i="10"/>
  <c r="BH60" i="10"/>
  <c r="BB60" i="10"/>
  <c r="AG60" i="10"/>
  <c r="AE60" i="10"/>
  <c r="AC60" i="10"/>
  <c r="Y60" i="10"/>
  <c r="P60" i="10"/>
  <c r="E60" i="10"/>
  <c r="AZ59" i="10"/>
  <c r="E545" i="10" s="1"/>
  <c r="AY59" i="10"/>
  <c r="AE59" i="10"/>
  <c r="E524" i="10" s="1"/>
  <c r="AC59" i="10"/>
  <c r="E522" i="10" s="1"/>
  <c r="AA59" i="10"/>
  <c r="E520" i="10" s="1"/>
  <c r="Y59" i="10"/>
  <c r="E518" i="10" s="1"/>
  <c r="R59" i="10"/>
  <c r="E511" i="10" s="1"/>
  <c r="E59" i="10"/>
  <c r="D415" i="10" s="1"/>
  <c r="B53" i="10"/>
  <c r="CE51" i="10"/>
  <c r="B49" i="10"/>
  <c r="CE47" i="10"/>
  <c r="F499" i="10" l="1"/>
  <c r="F509" i="10"/>
  <c r="F529" i="10"/>
  <c r="F511" i="10"/>
  <c r="F514" i="10"/>
  <c r="F515" i="10"/>
  <c r="F522" i="10"/>
  <c r="H535" i="10"/>
  <c r="O52" i="10"/>
  <c r="O67" i="10" s="1"/>
  <c r="AE52" i="10"/>
  <c r="AE67" i="10" s="1"/>
  <c r="AU52" i="10"/>
  <c r="AU67" i="10" s="1"/>
  <c r="BM52" i="10"/>
  <c r="BM67" i="10" s="1"/>
  <c r="CF76" i="10"/>
  <c r="E197" i="10"/>
  <c r="C470" i="10" s="1"/>
  <c r="E213" i="10"/>
  <c r="E498" i="10"/>
  <c r="H52" i="10"/>
  <c r="H67" i="10" s="1"/>
  <c r="P52" i="10"/>
  <c r="P67" i="10" s="1"/>
  <c r="AR52" i="10"/>
  <c r="AR67" i="10" s="1"/>
  <c r="AZ52" i="10"/>
  <c r="AZ67" i="10" s="1"/>
  <c r="CE73" i="10"/>
  <c r="C463" i="10" s="1"/>
  <c r="C217" i="10"/>
  <c r="D433" i="10" s="1"/>
  <c r="D339" i="10"/>
  <c r="C482" i="10" s="1"/>
  <c r="H497" i="10"/>
  <c r="H505" i="10"/>
  <c r="H506" i="10"/>
  <c r="F508" i="10"/>
  <c r="F516" i="10"/>
  <c r="F519" i="10"/>
  <c r="F526" i="10"/>
  <c r="H531" i="10"/>
  <c r="CE75" i="10"/>
  <c r="D52" i="10"/>
  <c r="D67" i="10" s="1"/>
  <c r="L52" i="10"/>
  <c r="L67" i="10" s="1"/>
  <c r="T52" i="10"/>
  <c r="T67" i="10" s="1"/>
  <c r="AB52" i="10"/>
  <c r="AB67" i="10" s="1"/>
  <c r="AF52" i="10"/>
  <c r="AF67" i="10" s="1"/>
  <c r="AN52" i="10"/>
  <c r="AN67" i="10" s="1"/>
  <c r="AV52" i="10"/>
  <c r="AV67" i="10" s="1"/>
  <c r="BD52" i="10"/>
  <c r="BD67" i="10" s="1"/>
  <c r="BN52" i="10"/>
  <c r="BN67" i="10" s="1"/>
  <c r="CE63" i="10"/>
  <c r="C429" i="10" s="1"/>
  <c r="CE74" i="10"/>
  <c r="C464" i="10" s="1"/>
  <c r="E52" i="10"/>
  <c r="E67" i="10" s="1"/>
  <c r="I52" i="10"/>
  <c r="I67" i="10" s="1"/>
  <c r="M52" i="10"/>
  <c r="M67" i="10" s="1"/>
  <c r="Q52" i="10"/>
  <c r="Q67" i="10" s="1"/>
  <c r="U52" i="10"/>
  <c r="U67" i="10" s="1"/>
  <c r="Y52" i="10"/>
  <c r="Y67" i="10" s="1"/>
  <c r="AC52" i="10"/>
  <c r="AC67" i="10" s="1"/>
  <c r="AG52" i="10"/>
  <c r="AG67" i="10" s="1"/>
  <c r="AK52" i="10"/>
  <c r="AK67" i="10" s="1"/>
  <c r="AO52" i="10"/>
  <c r="AO67" i="10" s="1"/>
  <c r="AS52" i="10"/>
  <c r="AS67" i="10" s="1"/>
  <c r="AW52" i="10"/>
  <c r="AW67" i="10" s="1"/>
  <c r="BA52" i="10"/>
  <c r="BA67" i="10" s="1"/>
  <c r="BE52" i="10"/>
  <c r="BE67" i="10" s="1"/>
  <c r="BI52" i="10"/>
  <c r="BI67" i="10" s="1"/>
  <c r="BQ52" i="10"/>
  <c r="BQ67" i="10" s="1"/>
  <c r="BY52" i="10"/>
  <c r="BY67" i="10" s="1"/>
  <c r="CE77" i="10"/>
  <c r="G612" i="10" s="1"/>
  <c r="CE78" i="10"/>
  <c r="I612" i="10" s="1"/>
  <c r="E141" i="10"/>
  <c r="D173" i="10"/>
  <c r="D428" i="10" s="1"/>
  <c r="E217" i="10"/>
  <c r="C478" i="10" s="1"/>
  <c r="D242" i="10"/>
  <c r="B448" i="10" s="1"/>
  <c r="F496" i="10"/>
  <c r="H501" i="10"/>
  <c r="H502" i="10"/>
  <c r="F510" i="10"/>
  <c r="F518" i="10"/>
  <c r="H523" i="10"/>
  <c r="H527" i="10"/>
  <c r="H528" i="10"/>
  <c r="H539" i="10"/>
  <c r="K612" i="10"/>
  <c r="C465" i="10"/>
  <c r="CE60" i="10"/>
  <c r="H612" i="10" s="1"/>
  <c r="CE61" i="10"/>
  <c r="CE64" i="10"/>
  <c r="C439" i="10"/>
  <c r="CE70" i="10"/>
  <c r="E138" i="10"/>
  <c r="C414" i="10" s="1"/>
  <c r="E147" i="10"/>
  <c r="D463" i="10" s="1"/>
  <c r="D275" i="10"/>
  <c r="F503" i="10"/>
  <c r="H513" i="10"/>
  <c r="F525" i="10"/>
  <c r="C615" i="10"/>
  <c r="CD71" i="10"/>
  <c r="C575" i="10" s="1"/>
  <c r="C438" i="10"/>
  <c r="CE65" i="10"/>
  <c r="C431" i="10" s="1"/>
  <c r="CB52" i="10"/>
  <c r="CB67" i="10" s="1"/>
  <c r="BX52" i="10"/>
  <c r="BX67" i="10" s="1"/>
  <c r="BT52" i="10"/>
  <c r="BT67" i="10" s="1"/>
  <c r="BP52" i="10"/>
  <c r="BP67" i="10" s="1"/>
  <c r="BL52" i="10"/>
  <c r="BL67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CE80" i="10"/>
  <c r="L612" i="10" s="1"/>
  <c r="F507" i="10"/>
  <c r="F517" i="10"/>
  <c r="F533" i="10"/>
  <c r="F537" i="10"/>
  <c r="CF77" i="10"/>
  <c r="E544" i="10"/>
  <c r="E142" i="10"/>
  <c r="D464" i="10" s="1"/>
  <c r="C468" i="10"/>
  <c r="E204" i="10"/>
  <c r="C476" i="10" s="1"/>
  <c r="F546" i="10"/>
  <c r="CE69" i="10"/>
  <c r="C440" i="10" s="1"/>
  <c r="D368" i="10"/>
  <c r="D373" i="10" s="1"/>
  <c r="D391" i="10" s="1"/>
  <c r="D393" i="10" s="1"/>
  <c r="D396" i="10" s="1"/>
  <c r="B435" i="10"/>
  <c r="D438" i="10"/>
  <c r="H500" i="10"/>
  <c r="H504" i="10"/>
  <c r="F512" i="10"/>
  <c r="H530" i="10"/>
  <c r="F532" i="10"/>
  <c r="H534" i="10"/>
  <c r="F536" i="10"/>
  <c r="H538" i="10"/>
  <c r="F540" i="10"/>
  <c r="F545" i="10"/>
  <c r="F550" i="10"/>
  <c r="BZ52" i="10" l="1"/>
  <c r="BZ67" i="10" s="1"/>
  <c r="BR52" i="10"/>
  <c r="BR67" i="10" s="1"/>
  <c r="BB52" i="10"/>
  <c r="BB67" i="10" s="1"/>
  <c r="AT52" i="10"/>
  <c r="AT67" i="10" s="1"/>
  <c r="AL52" i="10"/>
  <c r="AL67" i="10" s="1"/>
  <c r="Z52" i="10"/>
  <c r="Z67" i="10" s="1"/>
  <c r="R52" i="10"/>
  <c r="R67" i="10" s="1"/>
  <c r="J52" i="10"/>
  <c r="J67" i="10" s="1"/>
  <c r="BJ52" i="10"/>
  <c r="BJ67" i="10" s="1"/>
  <c r="AX52" i="10"/>
  <c r="AX67" i="10" s="1"/>
  <c r="AH52" i="10"/>
  <c r="AH67" i="10" s="1"/>
  <c r="V52" i="10"/>
  <c r="V67" i="10" s="1"/>
  <c r="F52" i="10"/>
  <c r="F67" i="10" s="1"/>
  <c r="BF52" i="10"/>
  <c r="BF67" i="10" s="1"/>
  <c r="AP52" i="10"/>
  <c r="AP67" i="10" s="1"/>
  <c r="AD52" i="10"/>
  <c r="AD67" i="10" s="1"/>
  <c r="N52" i="10"/>
  <c r="N67" i="10" s="1"/>
  <c r="BG52" i="10"/>
  <c r="BG67" i="10" s="1"/>
  <c r="AQ52" i="10"/>
  <c r="AQ67" i="10" s="1"/>
  <c r="AA52" i="10"/>
  <c r="AA67" i="10" s="1"/>
  <c r="K52" i="10"/>
  <c r="K67" i="10" s="1"/>
  <c r="BV52" i="10"/>
  <c r="BV67" i="10" s="1"/>
  <c r="AJ52" i="10"/>
  <c r="AJ67" i="10" s="1"/>
  <c r="CC52" i="10"/>
  <c r="CC67" i="10" s="1"/>
  <c r="BC52" i="10"/>
  <c r="BC67" i="10" s="1"/>
  <c r="AM52" i="10"/>
  <c r="AM67" i="10" s="1"/>
  <c r="W52" i="10"/>
  <c r="W67" i="10" s="1"/>
  <c r="G52" i="10"/>
  <c r="G67" i="10" s="1"/>
  <c r="BH52" i="10"/>
  <c r="BH67" i="10" s="1"/>
  <c r="X52" i="10"/>
  <c r="X67" i="10" s="1"/>
  <c r="BU52" i="10"/>
  <c r="BU67" i="10" s="1"/>
  <c r="AY52" i="10"/>
  <c r="AY67" i="10" s="1"/>
  <c r="AI52" i="10"/>
  <c r="AI67" i="10" s="1"/>
  <c r="S52" i="10"/>
  <c r="S67" i="10" s="1"/>
  <c r="C52" i="10"/>
  <c r="C67" i="10" s="1"/>
  <c r="CE67" i="10" s="1"/>
  <c r="C433" i="10" s="1"/>
  <c r="C427" i="10"/>
  <c r="BZ48" i="10"/>
  <c r="BZ62" i="10" s="1"/>
  <c r="BZ71" i="10" s="1"/>
  <c r="B571" i="1" s="1"/>
  <c r="BV48" i="10"/>
  <c r="BV62" i="10" s="1"/>
  <c r="BV71" i="10" s="1"/>
  <c r="B567" i="1" s="1"/>
  <c r="BR48" i="10"/>
  <c r="BR62" i="10" s="1"/>
  <c r="BR71" i="10" s="1"/>
  <c r="B563" i="1" s="1"/>
  <c r="BN48" i="10"/>
  <c r="BN62" i="10" s="1"/>
  <c r="BN71" i="10" s="1"/>
  <c r="B559" i="1" s="1"/>
  <c r="BJ48" i="10"/>
  <c r="BJ62" i="10" s="1"/>
  <c r="BJ71" i="10" s="1"/>
  <c r="B555" i="1" s="1"/>
  <c r="BF48" i="10"/>
  <c r="BF62" i="10" s="1"/>
  <c r="BF71" i="10" s="1"/>
  <c r="B551" i="1" s="1"/>
  <c r="BB48" i="10"/>
  <c r="BB62" i="10" s="1"/>
  <c r="BB71" i="10" s="1"/>
  <c r="B547" i="1" s="1"/>
  <c r="AX48" i="10"/>
  <c r="AX62" i="10" s="1"/>
  <c r="AX71" i="10" s="1"/>
  <c r="B543" i="1" s="1"/>
  <c r="AT48" i="10"/>
  <c r="AT62" i="10" s="1"/>
  <c r="AP48" i="10"/>
  <c r="AP62" i="10" s="1"/>
  <c r="AP71" i="10" s="1"/>
  <c r="B535" i="1" s="1"/>
  <c r="AL48" i="10"/>
  <c r="AL62" i="10" s="1"/>
  <c r="AL71" i="10" s="1"/>
  <c r="B531" i="1" s="1"/>
  <c r="AH48" i="10"/>
  <c r="AH62" i="10" s="1"/>
  <c r="AH71" i="10" s="1"/>
  <c r="B527" i="1" s="1"/>
  <c r="AD48" i="10"/>
  <c r="AD62" i="10" s="1"/>
  <c r="Z48" i="10"/>
  <c r="Z62" i="10" s="1"/>
  <c r="Z71" i="10" s="1"/>
  <c r="B519" i="1" s="1"/>
  <c r="V48" i="10"/>
  <c r="V62" i="10" s="1"/>
  <c r="V71" i="10" s="1"/>
  <c r="B515" i="1" s="1"/>
  <c r="R48" i="10"/>
  <c r="R62" i="10" s="1"/>
  <c r="R71" i="10" s="1"/>
  <c r="B511" i="1" s="1"/>
  <c r="N48" i="10"/>
  <c r="N62" i="10" s="1"/>
  <c r="N71" i="10" s="1"/>
  <c r="B507" i="1" s="1"/>
  <c r="J48" i="10"/>
  <c r="J62" i="10" s="1"/>
  <c r="F48" i="10"/>
  <c r="F62" i="10" s="1"/>
  <c r="F71" i="10" s="1"/>
  <c r="B499" i="1" s="1"/>
  <c r="BS48" i="10"/>
  <c r="BS62" i="10" s="1"/>
  <c r="BS71" i="10" s="1"/>
  <c r="B564" i="1" s="1"/>
  <c r="BG48" i="10"/>
  <c r="BG62" i="10" s="1"/>
  <c r="BG71" i="10" s="1"/>
  <c r="B552" i="1" s="1"/>
  <c r="AU48" i="10"/>
  <c r="AU62" i="10" s="1"/>
  <c r="AU71" i="10" s="1"/>
  <c r="B540" i="1" s="1"/>
  <c r="AI48" i="10"/>
  <c r="AI62" i="10" s="1"/>
  <c r="AI71" i="10" s="1"/>
  <c r="B528" i="1" s="1"/>
  <c r="W48" i="10"/>
  <c r="W62" i="10" s="1"/>
  <c r="W71" i="10" s="1"/>
  <c r="B516" i="1" s="1"/>
  <c r="G48" i="10"/>
  <c r="G62" i="10" s="1"/>
  <c r="CC48" i="10"/>
  <c r="CC62" i="10" s="1"/>
  <c r="BY48" i="10"/>
  <c r="BY62" i="10" s="1"/>
  <c r="BY71" i="10" s="1"/>
  <c r="B570" i="1" s="1"/>
  <c r="BU48" i="10"/>
  <c r="BU62" i="10" s="1"/>
  <c r="BQ48" i="10"/>
  <c r="BQ62" i="10" s="1"/>
  <c r="BQ71" i="10" s="1"/>
  <c r="B562" i="1" s="1"/>
  <c r="BM48" i="10"/>
  <c r="BM62" i="10" s="1"/>
  <c r="BM71" i="10" s="1"/>
  <c r="B558" i="1" s="1"/>
  <c r="BI48" i="10"/>
  <c r="BI62" i="10" s="1"/>
  <c r="BI71" i="10" s="1"/>
  <c r="B554" i="1" s="1"/>
  <c r="BE48" i="10"/>
  <c r="BE62" i="10" s="1"/>
  <c r="BE71" i="10" s="1"/>
  <c r="B550" i="1" s="1"/>
  <c r="BA48" i="10"/>
  <c r="BA62" i="10" s="1"/>
  <c r="BA71" i="10" s="1"/>
  <c r="B546" i="1" s="1"/>
  <c r="AW48" i="10"/>
  <c r="AW62" i="10" s="1"/>
  <c r="AW71" i="10" s="1"/>
  <c r="B542" i="1" s="1"/>
  <c r="AS48" i="10"/>
  <c r="AS62" i="10" s="1"/>
  <c r="AS71" i="10" s="1"/>
  <c r="B538" i="1" s="1"/>
  <c r="AO48" i="10"/>
  <c r="AO62" i="10" s="1"/>
  <c r="AO71" i="10" s="1"/>
  <c r="B534" i="1" s="1"/>
  <c r="AK48" i="10"/>
  <c r="AK62" i="10" s="1"/>
  <c r="AK71" i="10" s="1"/>
  <c r="B530" i="1" s="1"/>
  <c r="AG48" i="10"/>
  <c r="AG62" i="10" s="1"/>
  <c r="AG71" i="10" s="1"/>
  <c r="B526" i="1" s="1"/>
  <c r="AC48" i="10"/>
  <c r="AC62" i="10" s="1"/>
  <c r="AC71" i="10" s="1"/>
  <c r="B522" i="1" s="1"/>
  <c r="Y48" i="10"/>
  <c r="Y62" i="10" s="1"/>
  <c r="Y71" i="10" s="1"/>
  <c r="B518" i="1" s="1"/>
  <c r="U48" i="10"/>
  <c r="U62" i="10" s="1"/>
  <c r="U71" i="10" s="1"/>
  <c r="B514" i="1" s="1"/>
  <c r="Q48" i="10"/>
  <c r="Q62" i="10" s="1"/>
  <c r="Q71" i="10" s="1"/>
  <c r="B510" i="1" s="1"/>
  <c r="M48" i="10"/>
  <c r="M62" i="10" s="1"/>
  <c r="M71" i="10" s="1"/>
  <c r="B506" i="1" s="1"/>
  <c r="I48" i="10"/>
  <c r="I62" i="10" s="1"/>
  <c r="I71" i="10" s="1"/>
  <c r="B502" i="1" s="1"/>
  <c r="E48" i="10"/>
  <c r="E62" i="10" s="1"/>
  <c r="E71" i="10" s="1"/>
  <c r="B498" i="1" s="1"/>
  <c r="BK48" i="10"/>
  <c r="BK62" i="10" s="1"/>
  <c r="BK71" i="10" s="1"/>
  <c r="B556" i="1" s="1"/>
  <c r="AY48" i="10"/>
  <c r="AY62" i="10" s="1"/>
  <c r="AY71" i="10" s="1"/>
  <c r="B544" i="1" s="1"/>
  <c r="AQ48" i="10"/>
  <c r="AQ62" i="10" s="1"/>
  <c r="AQ71" i="10" s="1"/>
  <c r="B536" i="1" s="1"/>
  <c r="AA48" i="10"/>
  <c r="AA62" i="10" s="1"/>
  <c r="O48" i="10"/>
  <c r="O62" i="10" s="1"/>
  <c r="O71" i="10" s="1"/>
  <c r="B508" i="1" s="1"/>
  <c r="K48" i="10"/>
  <c r="K62" i="10" s="1"/>
  <c r="K71" i="10" s="1"/>
  <c r="B504" i="1" s="1"/>
  <c r="CB48" i="10"/>
  <c r="CB62" i="10" s="1"/>
  <c r="CB71" i="10" s="1"/>
  <c r="B573" i="1" s="1"/>
  <c r="BX48" i="10"/>
  <c r="BX62" i="10" s="1"/>
  <c r="BX71" i="10" s="1"/>
  <c r="B569" i="1" s="1"/>
  <c r="BT48" i="10"/>
  <c r="BT62" i="10" s="1"/>
  <c r="BT71" i="10" s="1"/>
  <c r="B565" i="1" s="1"/>
  <c r="BP48" i="10"/>
  <c r="BP62" i="10" s="1"/>
  <c r="BP71" i="10" s="1"/>
  <c r="B561" i="1" s="1"/>
  <c r="BL48" i="10"/>
  <c r="BL62" i="10" s="1"/>
  <c r="BL71" i="10" s="1"/>
  <c r="B557" i="1" s="1"/>
  <c r="BH48" i="10"/>
  <c r="BH62" i="10" s="1"/>
  <c r="BH71" i="10" s="1"/>
  <c r="B553" i="1" s="1"/>
  <c r="BD48" i="10"/>
  <c r="BD62" i="10" s="1"/>
  <c r="BD71" i="10" s="1"/>
  <c r="B549" i="1" s="1"/>
  <c r="AZ48" i="10"/>
  <c r="AZ62" i="10" s="1"/>
  <c r="AZ71" i="10" s="1"/>
  <c r="B545" i="1" s="1"/>
  <c r="AV48" i="10"/>
  <c r="AV62" i="10" s="1"/>
  <c r="AV71" i="10" s="1"/>
  <c r="B541" i="1" s="1"/>
  <c r="AR48" i="10"/>
  <c r="AR62" i="10" s="1"/>
  <c r="AR71" i="10" s="1"/>
  <c r="B537" i="1" s="1"/>
  <c r="AN48" i="10"/>
  <c r="AN62" i="10" s="1"/>
  <c r="AN71" i="10" s="1"/>
  <c r="B533" i="1" s="1"/>
  <c r="AJ48" i="10"/>
  <c r="AJ62" i="10" s="1"/>
  <c r="AJ71" i="10" s="1"/>
  <c r="B529" i="1" s="1"/>
  <c r="AF48" i="10"/>
  <c r="AF62" i="10" s="1"/>
  <c r="AF71" i="10" s="1"/>
  <c r="B525" i="1" s="1"/>
  <c r="AB48" i="10"/>
  <c r="AB62" i="10" s="1"/>
  <c r="AB71" i="10" s="1"/>
  <c r="B521" i="1" s="1"/>
  <c r="X48" i="10"/>
  <c r="X62" i="10" s="1"/>
  <c r="X71" i="10" s="1"/>
  <c r="B517" i="1" s="1"/>
  <c r="T48" i="10"/>
  <c r="T62" i="10" s="1"/>
  <c r="T71" i="10" s="1"/>
  <c r="B513" i="1" s="1"/>
  <c r="P48" i="10"/>
  <c r="P62" i="10" s="1"/>
  <c r="P71" i="10" s="1"/>
  <c r="B509" i="1" s="1"/>
  <c r="L48" i="10"/>
  <c r="L62" i="10" s="1"/>
  <c r="L71" i="10" s="1"/>
  <c r="B505" i="1" s="1"/>
  <c r="H48" i="10"/>
  <c r="H62" i="10" s="1"/>
  <c r="H71" i="10" s="1"/>
  <c r="B501" i="1" s="1"/>
  <c r="D48" i="10"/>
  <c r="D62" i="10" s="1"/>
  <c r="D71" i="10" s="1"/>
  <c r="B497" i="1" s="1"/>
  <c r="CA48" i="10"/>
  <c r="CA62" i="10" s="1"/>
  <c r="CA71" i="10" s="1"/>
  <c r="B572" i="1" s="1"/>
  <c r="BW48" i="10"/>
  <c r="BW62" i="10" s="1"/>
  <c r="BW71" i="10" s="1"/>
  <c r="B568" i="1" s="1"/>
  <c r="BO48" i="10"/>
  <c r="BO62" i="10" s="1"/>
  <c r="BO71" i="10" s="1"/>
  <c r="B560" i="1" s="1"/>
  <c r="BC48" i="10"/>
  <c r="BC62" i="10" s="1"/>
  <c r="BC71" i="10" s="1"/>
  <c r="B548" i="1" s="1"/>
  <c r="AM48" i="10"/>
  <c r="AM62" i="10" s="1"/>
  <c r="AM71" i="10" s="1"/>
  <c r="B532" i="1" s="1"/>
  <c r="AE48" i="10"/>
  <c r="AE62" i="10" s="1"/>
  <c r="AE71" i="10" s="1"/>
  <c r="B524" i="1" s="1"/>
  <c r="S48" i="10"/>
  <c r="S62" i="10" s="1"/>
  <c r="S71" i="10" s="1"/>
  <c r="B512" i="1" s="1"/>
  <c r="C48" i="10"/>
  <c r="D277" i="10"/>
  <c r="D292" i="10" s="1"/>
  <c r="D341" i="10" s="1"/>
  <c r="C481" i="10" s="1"/>
  <c r="B476" i="10"/>
  <c r="D465" i="10"/>
  <c r="C458" i="10"/>
  <c r="F612" i="10"/>
  <c r="C430" i="10"/>
  <c r="CC71" i="10" l="1"/>
  <c r="B574" i="1" s="1"/>
  <c r="J71" i="10"/>
  <c r="B503" i="1" s="1"/>
  <c r="AA71" i="10"/>
  <c r="B520" i="1" s="1"/>
  <c r="G71" i="10"/>
  <c r="B500" i="1" s="1"/>
  <c r="AD71" i="10"/>
  <c r="B523" i="1" s="1"/>
  <c r="AT71" i="10"/>
  <c r="B539" i="1" s="1"/>
  <c r="CE52" i="10"/>
  <c r="BU71" i="10"/>
  <c r="B566" i="1" s="1"/>
  <c r="C633" i="10"/>
  <c r="C548" i="10"/>
  <c r="C701" i="10"/>
  <c r="C529" i="10"/>
  <c r="C561" i="10"/>
  <c r="C621" i="10"/>
  <c r="C625" i="10"/>
  <c r="C544" i="10"/>
  <c r="C694" i="10"/>
  <c r="C522" i="10"/>
  <c r="C634" i="10"/>
  <c r="C554" i="10"/>
  <c r="C700" i="10"/>
  <c r="C528" i="10"/>
  <c r="G528" i="10" s="1"/>
  <c r="C687" i="10"/>
  <c r="C515" i="10"/>
  <c r="C563" i="10"/>
  <c r="C626" i="10"/>
  <c r="C684" i="10"/>
  <c r="C512" i="10"/>
  <c r="C689" i="10"/>
  <c r="C517" i="10"/>
  <c r="C624" i="10"/>
  <c r="C549" i="10"/>
  <c r="C680" i="10"/>
  <c r="C508" i="10"/>
  <c r="C682" i="10"/>
  <c r="C510" i="10"/>
  <c r="C631" i="10"/>
  <c r="C542" i="10"/>
  <c r="C574" i="10"/>
  <c r="C620" i="10"/>
  <c r="C675" i="10"/>
  <c r="C503" i="10"/>
  <c r="G503" i="10" s="1"/>
  <c r="C707" i="10"/>
  <c r="C535" i="10"/>
  <c r="G535" i="10" s="1"/>
  <c r="C567" i="10"/>
  <c r="C642" i="10"/>
  <c r="C696" i="10"/>
  <c r="C524" i="10"/>
  <c r="C693" i="10"/>
  <c r="C521" i="10"/>
  <c r="C709" i="10"/>
  <c r="C537" i="10"/>
  <c r="G537" i="10" s="1"/>
  <c r="C636" i="10"/>
  <c r="C553" i="10"/>
  <c r="C569" i="10"/>
  <c r="C644" i="10"/>
  <c r="C692" i="10"/>
  <c r="C520" i="10"/>
  <c r="C670" i="10"/>
  <c r="C498" i="10"/>
  <c r="C686" i="10"/>
  <c r="C514" i="10"/>
  <c r="C702" i="10"/>
  <c r="C530" i="10"/>
  <c r="G530" i="10" s="1"/>
  <c r="C630" i="10"/>
  <c r="C546" i="10"/>
  <c r="C623" i="10"/>
  <c r="C562" i="10"/>
  <c r="C552" i="10"/>
  <c r="C618" i="10"/>
  <c r="C679" i="10"/>
  <c r="C507" i="10"/>
  <c r="G507" i="10" s="1"/>
  <c r="C695" i="10"/>
  <c r="C523" i="10"/>
  <c r="G523" i="10" s="1"/>
  <c r="C711" i="10"/>
  <c r="C539" i="10"/>
  <c r="G539" i="10" s="1"/>
  <c r="C555" i="10"/>
  <c r="C617" i="10"/>
  <c r="C646" i="10"/>
  <c r="C571" i="10"/>
  <c r="C62" i="10"/>
  <c r="CE48" i="10"/>
  <c r="C497" i="10"/>
  <c r="G497" i="10" s="1"/>
  <c r="C669" i="10"/>
  <c r="C685" i="10"/>
  <c r="C513" i="10"/>
  <c r="G513" i="10" s="1"/>
  <c r="C628" i="10"/>
  <c r="C545" i="10"/>
  <c r="C676" i="10"/>
  <c r="C504" i="10"/>
  <c r="G504" i="10" s="1"/>
  <c r="C678" i="10"/>
  <c r="C506" i="10"/>
  <c r="G506" i="10" s="1"/>
  <c r="C710" i="10"/>
  <c r="C538" i="10"/>
  <c r="G538" i="10" s="1"/>
  <c r="C645" i="10"/>
  <c r="C570" i="10"/>
  <c r="C671" i="10"/>
  <c r="C499" i="10"/>
  <c r="G499" i="10" s="1"/>
  <c r="C703" i="10"/>
  <c r="C531" i="10"/>
  <c r="G531" i="10" s="1"/>
  <c r="C632" i="10"/>
  <c r="C547" i="10"/>
  <c r="C627" i="10"/>
  <c r="C560" i="10"/>
  <c r="C673" i="10"/>
  <c r="C501" i="10"/>
  <c r="G501" i="10" s="1"/>
  <c r="C705" i="10"/>
  <c r="C533" i="10"/>
  <c r="G533" i="10" s="1"/>
  <c r="C565" i="10"/>
  <c r="C640" i="10"/>
  <c r="C635" i="10"/>
  <c r="C556" i="10"/>
  <c r="C698" i="10"/>
  <c r="C526" i="10"/>
  <c r="C638" i="10"/>
  <c r="C558" i="10"/>
  <c r="C712" i="10"/>
  <c r="C540" i="10"/>
  <c r="G540" i="10" s="1"/>
  <c r="C691" i="10"/>
  <c r="C519" i="10"/>
  <c r="G519" i="10" s="1"/>
  <c r="C629" i="10"/>
  <c r="C551" i="10"/>
  <c r="C643" i="10"/>
  <c r="C568" i="10"/>
  <c r="C677" i="10"/>
  <c r="C505" i="10"/>
  <c r="G505" i="10" s="1"/>
  <c r="C532" i="10"/>
  <c r="G532" i="10" s="1"/>
  <c r="C704" i="10"/>
  <c r="C647" i="10"/>
  <c r="C572" i="10"/>
  <c r="C681" i="10"/>
  <c r="C509" i="10"/>
  <c r="C697" i="10"/>
  <c r="C525" i="10"/>
  <c r="G525" i="10" s="1"/>
  <c r="C713" i="10"/>
  <c r="C541" i="10"/>
  <c r="C557" i="10"/>
  <c r="C637" i="10"/>
  <c r="C573" i="10"/>
  <c r="C622" i="10"/>
  <c r="C708" i="10"/>
  <c r="C536" i="10"/>
  <c r="G536" i="10" s="1"/>
  <c r="C674" i="10"/>
  <c r="C502" i="10"/>
  <c r="G502" i="10" s="1"/>
  <c r="C690" i="10"/>
  <c r="C518" i="10"/>
  <c r="C706" i="10"/>
  <c r="C534" i="10"/>
  <c r="G534" i="10" s="1"/>
  <c r="C614" i="10"/>
  <c r="C550" i="10"/>
  <c r="C688" i="10"/>
  <c r="C516" i="10"/>
  <c r="C639" i="10"/>
  <c r="C564" i="10"/>
  <c r="C683" i="10"/>
  <c r="C511" i="10"/>
  <c r="C699" i="10"/>
  <c r="C527" i="10"/>
  <c r="G527" i="10" s="1"/>
  <c r="C616" i="10"/>
  <c r="C543" i="10"/>
  <c r="C559" i="10"/>
  <c r="C619" i="10"/>
  <c r="C500" i="10" l="1"/>
  <c r="G500" i="10" s="1"/>
  <c r="C566" i="10"/>
  <c r="C641" i="10"/>
  <c r="C672" i="10"/>
  <c r="G511" i="10"/>
  <c r="H511" i="10" s="1"/>
  <c r="G516" i="10"/>
  <c r="H516" i="10" s="1"/>
  <c r="G518" i="10"/>
  <c r="H518" i="10" s="1"/>
  <c r="G526" i="10"/>
  <c r="H526" i="10"/>
  <c r="G524" i="10"/>
  <c r="H524" i="10" s="1"/>
  <c r="G544" i="10"/>
  <c r="H544" i="10"/>
  <c r="D615" i="10"/>
  <c r="C648" i="10"/>
  <c r="M716" i="10" s="1"/>
  <c r="CE62" i="10"/>
  <c r="C71" i="10"/>
  <c r="B496" i="1" s="1"/>
  <c r="G509" i="10"/>
  <c r="H509" i="10" s="1"/>
  <c r="G545" i="10"/>
  <c r="H545" i="10" s="1"/>
  <c r="G546" i="10"/>
  <c r="H546" i="10"/>
  <c r="G514" i="10"/>
  <c r="H514" i="10" s="1"/>
  <c r="G520" i="10"/>
  <c r="H520" i="10" s="1"/>
  <c r="G521" i="10"/>
  <c r="H521" i="10"/>
  <c r="G508" i="10"/>
  <c r="H508" i="10" s="1"/>
  <c r="G517" i="10"/>
  <c r="H517" i="10"/>
  <c r="G522" i="10"/>
  <c r="H522" i="10"/>
  <c r="G550" i="10"/>
  <c r="H550" i="10" s="1"/>
  <c r="G498" i="10"/>
  <c r="H498" i="10" s="1"/>
  <c r="H510" i="10"/>
  <c r="G510" i="10"/>
  <c r="G512" i="10"/>
  <c r="H512" i="10"/>
  <c r="G515" i="10"/>
  <c r="H515" i="10" s="1"/>
  <c r="G529" i="10"/>
  <c r="H529" i="10" s="1"/>
  <c r="D710" i="10" l="1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6" i="10"/>
  <c r="D698" i="10"/>
  <c r="D690" i="10"/>
  <c r="D682" i="10"/>
  <c r="D678" i="10"/>
  <c r="D674" i="10"/>
  <c r="D705" i="10"/>
  <c r="D697" i="10"/>
  <c r="D689" i="10"/>
  <c r="D683" i="10"/>
  <c r="D679" i="10"/>
  <c r="D675" i="10"/>
  <c r="D671" i="10"/>
  <c r="D702" i="10"/>
  <c r="D694" i="10"/>
  <c r="D686" i="10"/>
  <c r="D684" i="10"/>
  <c r="D680" i="10"/>
  <c r="D676" i="10"/>
  <c r="D672" i="10"/>
  <c r="D668" i="10"/>
  <c r="D709" i="10"/>
  <c r="D681" i="10"/>
  <c r="D645" i="10"/>
  <c r="D629" i="10"/>
  <c r="D626" i="10"/>
  <c r="D623" i="10"/>
  <c r="D621" i="10"/>
  <c r="D619" i="10"/>
  <c r="D617" i="10"/>
  <c r="D713" i="10"/>
  <c r="D685" i="10"/>
  <c r="D670" i="10"/>
  <c r="D646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3" i="10"/>
  <c r="D673" i="10"/>
  <c r="D669" i="10"/>
  <c r="D628" i="10"/>
  <c r="D622" i="10"/>
  <c r="D620" i="10"/>
  <c r="D618" i="10"/>
  <c r="D616" i="10"/>
  <c r="D647" i="10"/>
  <c r="D677" i="10"/>
  <c r="D627" i="10"/>
  <c r="D701" i="10"/>
  <c r="C668" i="10"/>
  <c r="C715" i="10" s="1"/>
  <c r="C496" i="10"/>
  <c r="C428" i="10"/>
  <c r="C441" i="10" s="1"/>
  <c r="CE71" i="10"/>
  <c r="C716" i="10" s="1"/>
  <c r="D715" i="10" l="1"/>
  <c r="E623" i="10"/>
  <c r="E612" i="10"/>
  <c r="G496" i="10"/>
  <c r="H496" i="10" s="1"/>
  <c r="E716" i="10" l="1"/>
  <c r="E71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703" i="10"/>
  <c r="E695" i="10"/>
  <c r="E687" i="10"/>
  <c r="E683" i="10"/>
  <c r="E679" i="10"/>
  <c r="E675" i="10"/>
  <c r="E671" i="10"/>
  <c r="E702" i="10"/>
  <c r="E694" i="10"/>
  <c r="E686" i="10"/>
  <c r="E684" i="10"/>
  <c r="E680" i="10"/>
  <c r="E676" i="10"/>
  <c r="E672" i="10"/>
  <c r="E668" i="10"/>
  <c r="E707" i="10"/>
  <c r="E699" i="10"/>
  <c r="E691" i="10"/>
  <c r="E681" i="10"/>
  <c r="E677" i="10"/>
  <c r="E673" i="10"/>
  <c r="E669" i="10"/>
  <c r="E706" i="10"/>
  <c r="E678" i="10"/>
  <c r="E670" i="10"/>
  <c r="E646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2" i="10"/>
  <c r="E628" i="10"/>
  <c r="E690" i="10"/>
  <c r="E647" i="10"/>
  <c r="E627" i="10"/>
  <c r="E710" i="10"/>
  <c r="E698" i="10"/>
  <c r="E674" i="10"/>
  <c r="E645" i="10"/>
  <c r="E629" i="10"/>
  <c r="E626" i="10"/>
  <c r="E715" i="10" l="1"/>
  <c r="F624" i="10"/>
  <c r="F712" i="10" l="1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708" i="10"/>
  <c r="F700" i="10"/>
  <c r="F692" i="10"/>
  <c r="F684" i="10"/>
  <c r="F680" i="10"/>
  <c r="F676" i="10"/>
  <c r="F672" i="10"/>
  <c r="F716" i="10"/>
  <c r="F707" i="10"/>
  <c r="F699" i="10"/>
  <c r="F691" i="10"/>
  <c r="F681" i="10"/>
  <c r="F677" i="10"/>
  <c r="F673" i="10"/>
  <c r="F669" i="10"/>
  <c r="F704" i="10"/>
  <c r="F696" i="10"/>
  <c r="F688" i="10"/>
  <c r="F682" i="10"/>
  <c r="F678" i="10"/>
  <c r="F674" i="10"/>
  <c r="F670" i="10"/>
  <c r="F703" i="10"/>
  <c r="F675" i="10"/>
  <c r="F628" i="10"/>
  <c r="F679" i="10"/>
  <c r="F647" i="10"/>
  <c r="F627" i="10"/>
  <c r="F687" i="10"/>
  <c r="F683" i="10"/>
  <c r="F645" i="10"/>
  <c r="F629" i="10"/>
  <c r="F626" i="10"/>
  <c r="F625" i="10"/>
  <c r="F695" i="10"/>
  <c r="F646" i="10"/>
  <c r="F644" i="10"/>
  <c r="F642" i="10"/>
  <c r="F640" i="10"/>
  <c r="F638" i="10"/>
  <c r="F636" i="10"/>
  <c r="F634" i="10"/>
  <c r="F632" i="10"/>
  <c r="F630" i="10"/>
  <c r="F671" i="10"/>
  <c r="F668" i="10"/>
  <c r="F641" i="10"/>
  <c r="F633" i="10"/>
  <c r="F639" i="10"/>
  <c r="F631" i="10"/>
  <c r="F637" i="10"/>
  <c r="F643" i="10"/>
  <c r="F635" i="10"/>
  <c r="F715" i="10" l="1"/>
  <c r="G625" i="10"/>
  <c r="G713" i="10" l="1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5" i="10"/>
  <c r="G697" i="10"/>
  <c r="G689" i="10"/>
  <c r="G681" i="10"/>
  <c r="G677" i="10"/>
  <c r="G673" i="10"/>
  <c r="G712" i="10"/>
  <c r="G704" i="10"/>
  <c r="G696" i="10"/>
  <c r="G688" i="10"/>
  <c r="G682" i="10"/>
  <c r="G678" i="10"/>
  <c r="G674" i="10"/>
  <c r="G670" i="10"/>
  <c r="G647" i="10"/>
  <c r="G646" i="10"/>
  <c r="G709" i="10"/>
  <c r="G701" i="10"/>
  <c r="G693" i="10"/>
  <c r="G685" i="10"/>
  <c r="G683" i="10"/>
  <c r="G679" i="10"/>
  <c r="G675" i="10"/>
  <c r="G671" i="10"/>
  <c r="G700" i="10"/>
  <c r="G672" i="10"/>
  <c r="G627" i="10"/>
  <c r="G708" i="10"/>
  <c r="G676" i="10"/>
  <c r="G669" i="10"/>
  <c r="G645" i="10"/>
  <c r="G629" i="10"/>
  <c r="G626" i="10"/>
  <c r="G680" i="10"/>
  <c r="G668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8" i="10"/>
  <c r="G684" i="10"/>
  <c r="G692" i="10"/>
  <c r="H628" i="10" l="1"/>
  <c r="G715" i="10"/>
  <c r="H710" i="10" l="1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2" i="10"/>
  <c r="H694" i="10"/>
  <c r="H686" i="10"/>
  <c r="H682" i="10"/>
  <c r="H678" i="10"/>
  <c r="H674" i="10"/>
  <c r="H709" i="10"/>
  <c r="H701" i="10"/>
  <c r="H693" i="10"/>
  <c r="H685" i="10"/>
  <c r="H683" i="10"/>
  <c r="H679" i="10"/>
  <c r="H675" i="10"/>
  <c r="H671" i="10"/>
  <c r="H713" i="10"/>
  <c r="H706" i="10"/>
  <c r="H698" i="10"/>
  <c r="H690" i="10"/>
  <c r="H684" i="10"/>
  <c r="H680" i="10"/>
  <c r="H676" i="10"/>
  <c r="H672" i="10"/>
  <c r="H668" i="10"/>
  <c r="H697" i="10"/>
  <c r="H669" i="10"/>
  <c r="H647" i="10"/>
  <c r="H645" i="10"/>
  <c r="H629" i="10"/>
  <c r="H705" i="10"/>
  <c r="H673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7" i="10"/>
  <c r="H646" i="10"/>
  <c r="H670" i="10"/>
  <c r="H689" i="10"/>
  <c r="H681" i="10"/>
  <c r="H715" i="10" l="1"/>
  <c r="I629" i="10"/>
  <c r="I716" i="10" l="1"/>
  <c r="I71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7" i="10"/>
  <c r="I699" i="10"/>
  <c r="I691" i="10"/>
  <c r="I683" i="10"/>
  <c r="I679" i="10"/>
  <c r="I675" i="10"/>
  <c r="I671" i="10"/>
  <c r="I706" i="10"/>
  <c r="I698" i="10"/>
  <c r="I690" i="10"/>
  <c r="I684" i="10"/>
  <c r="I680" i="10"/>
  <c r="I676" i="10"/>
  <c r="I672" i="10"/>
  <c r="I668" i="10"/>
  <c r="I710" i="10"/>
  <c r="I703" i="10"/>
  <c r="I695" i="10"/>
  <c r="I687" i="10"/>
  <c r="I681" i="10"/>
  <c r="I677" i="10"/>
  <c r="I673" i="10"/>
  <c r="I669" i="10"/>
  <c r="I694" i="10"/>
  <c r="I682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2" i="10"/>
  <c r="I646" i="10"/>
  <c r="I674" i="10"/>
  <c r="I670" i="10"/>
  <c r="I686" i="10"/>
  <c r="I678" i="10"/>
  <c r="I645" i="10"/>
  <c r="I647" i="10"/>
  <c r="I715" i="10" l="1"/>
  <c r="J630" i="10"/>
  <c r="J712" i="10" l="1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704" i="10"/>
  <c r="J696" i="10"/>
  <c r="J688" i="10"/>
  <c r="J684" i="10"/>
  <c r="J680" i="10"/>
  <c r="J676" i="10"/>
  <c r="J672" i="10"/>
  <c r="J703" i="10"/>
  <c r="J695" i="10"/>
  <c r="J687" i="10"/>
  <c r="J681" i="10"/>
  <c r="J677" i="10"/>
  <c r="J673" i="10"/>
  <c r="J669" i="10"/>
  <c r="J708" i="10"/>
  <c r="J700" i="10"/>
  <c r="J692" i="10"/>
  <c r="J682" i="10"/>
  <c r="J678" i="10"/>
  <c r="J674" i="10"/>
  <c r="J670" i="10"/>
  <c r="J691" i="10"/>
  <c r="J679" i="10"/>
  <c r="J646" i="10"/>
  <c r="J699" i="10"/>
  <c r="J683" i="10"/>
  <c r="J668" i="10"/>
  <c r="J711" i="10"/>
  <c r="J707" i="10"/>
  <c r="J671" i="10"/>
  <c r="J647" i="10"/>
  <c r="L647" i="10" s="1"/>
  <c r="J645" i="10"/>
  <c r="J644" i="10"/>
  <c r="J642" i="10"/>
  <c r="J640" i="10"/>
  <c r="J638" i="10"/>
  <c r="J636" i="10"/>
  <c r="J634" i="10"/>
  <c r="J632" i="10"/>
  <c r="J643" i="10"/>
  <c r="J641" i="10"/>
  <c r="J639" i="10"/>
  <c r="J637" i="10"/>
  <c r="J635" i="10"/>
  <c r="J633" i="10"/>
  <c r="J631" i="10"/>
  <c r="J675" i="10"/>
  <c r="L710" i="10" l="1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706" i="10"/>
  <c r="L698" i="10"/>
  <c r="L690" i="10"/>
  <c r="L682" i="10"/>
  <c r="L678" i="10"/>
  <c r="L674" i="10"/>
  <c r="L713" i="10"/>
  <c r="L705" i="10"/>
  <c r="L697" i="10"/>
  <c r="L689" i="10"/>
  <c r="L683" i="10"/>
  <c r="L679" i="10"/>
  <c r="L675" i="10"/>
  <c r="L671" i="10"/>
  <c r="L702" i="10"/>
  <c r="L694" i="10"/>
  <c r="L686" i="10"/>
  <c r="L684" i="10"/>
  <c r="L680" i="10"/>
  <c r="L676" i="10"/>
  <c r="L672" i="10"/>
  <c r="L668" i="10"/>
  <c r="L685" i="10"/>
  <c r="L673" i="10"/>
  <c r="L693" i="10"/>
  <c r="L677" i="10"/>
  <c r="L670" i="10"/>
  <c r="L701" i="10"/>
  <c r="L681" i="10"/>
  <c r="L669" i="10"/>
  <c r="J715" i="10"/>
  <c r="K644" i="10"/>
  <c r="L715" i="10" l="1"/>
  <c r="K713" i="10"/>
  <c r="M713" i="10" s="1"/>
  <c r="K709" i="10"/>
  <c r="K710" i="10"/>
  <c r="K706" i="10"/>
  <c r="M706" i="10" s="1"/>
  <c r="K702" i="10"/>
  <c r="M702" i="10" s="1"/>
  <c r="K698" i="10"/>
  <c r="M698" i="10" s="1"/>
  <c r="K694" i="10"/>
  <c r="K690" i="10"/>
  <c r="M690" i="10" s="1"/>
  <c r="K686" i="10"/>
  <c r="M686" i="10" s="1"/>
  <c r="K716" i="10"/>
  <c r="K711" i="10"/>
  <c r="M711" i="10" s="1"/>
  <c r="K707" i="10"/>
  <c r="M707" i="10" s="1"/>
  <c r="K703" i="10"/>
  <c r="M703" i="10" s="1"/>
  <c r="K699" i="10"/>
  <c r="M699" i="10" s="1"/>
  <c r="K695" i="10"/>
  <c r="M695" i="10" s="1"/>
  <c r="K691" i="10"/>
  <c r="M691" i="10" s="1"/>
  <c r="K687" i="10"/>
  <c r="K712" i="10"/>
  <c r="M712" i="10" s="1"/>
  <c r="K701" i="10"/>
  <c r="K693" i="10"/>
  <c r="M693" i="10" s="1"/>
  <c r="K685" i="10"/>
  <c r="M685" i="10" s="1"/>
  <c r="K681" i="10"/>
  <c r="M681" i="10" s="1"/>
  <c r="K677" i="10"/>
  <c r="M677" i="10" s="1"/>
  <c r="K673" i="10"/>
  <c r="K708" i="10"/>
  <c r="M708" i="10" s="1"/>
  <c r="K700" i="10"/>
  <c r="K692" i="10"/>
  <c r="M692" i="10" s="1"/>
  <c r="K682" i="10"/>
  <c r="M682" i="10" s="1"/>
  <c r="K678" i="10"/>
  <c r="M678" i="10" s="1"/>
  <c r="K674" i="10"/>
  <c r="M674" i="10" s="1"/>
  <c r="K670" i="10"/>
  <c r="M670" i="10" s="1"/>
  <c r="K705" i="10"/>
  <c r="K697" i="10"/>
  <c r="M697" i="10" s="1"/>
  <c r="K689" i="10"/>
  <c r="M689" i="10" s="1"/>
  <c r="K683" i="10"/>
  <c r="M683" i="10" s="1"/>
  <c r="K679" i="10"/>
  <c r="K675" i="10"/>
  <c r="M675" i="10" s="1"/>
  <c r="K671" i="10"/>
  <c r="M671" i="10" s="1"/>
  <c r="K688" i="10"/>
  <c r="M688" i="10" s="1"/>
  <c r="K676" i="10"/>
  <c r="M676" i="10" s="1"/>
  <c r="K668" i="10"/>
  <c r="K696" i="10"/>
  <c r="M696" i="10" s="1"/>
  <c r="K680" i="10"/>
  <c r="M680" i="10" s="1"/>
  <c r="K704" i="10"/>
  <c r="M704" i="10" s="1"/>
  <c r="K684" i="10"/>
  <c r="M684" i="10" s="1"/>
  <c r="K669" i="10"/>
  <c r="M669" i="10" s="1"/>
  <c r="K672" i="10"/>
  <c r="M672" i="10" s="1"/>
  <c r="M701" i="10"/>
  <c r="M673" i="10"/>
  <c r="M694" i="10"/>
  <c r="M679" i="10"/>
  <c r="M705" i="10"/>
  <c r="M709" i="10"/>
  <c r="M700" i="10"/>
  <c r="M687" i="10"/>
  <c r="M710" i="10"/>
  <c r="K715" i="10" l="1"/>
  <c r="M668" i="10"/>
  <c r="M715" i="10" s="1"/>
  <c r="F493" i="1" l="1"/>
  <c r="D493" i="1"/>
  <c r="B493" i="1"/>
  <c r="B575" i="1" l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AS48" i="1" s="1"/>
  <c r="AS62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61" i="1"/>
  <c r="N762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30" i="1"/>
  <c r="C86" i="8" s="1"/>
  <c r="C816" i="1"/>
  <c r="N766" i="1"/>
  <c r="N760" i="1"/>
  <c r="N743" i="1"/>
  <c r="N769" i="1"/>
  <c r="N758" i="1"/>
  <c r="N753" i="1"/>
  <c r="N747" i="1"/>
  <c r="C469" i="1"/>
  <c r="F8" i="6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E788" i="1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E791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B10" i="4"/>
  <c r="CF77" i="1"/>
  <c r="D368" i="1" l="1"/>
  <c r="C120" i="8" s="1"/>
  <c r="N755" i="1"/>
  <c r="C27" i="5"/>
  <c r="C417" i="1"/>
  <c r="N768" i="1"/>
  <c r="I381" i="9"/>
  <c r="G612" i="1"/>
  <c r="G10" i="4"/>
  <c r="F10" i="4"/>
  <c r="B445" i="1"/>
  <c r="C473" i="1"/>
  <c r="B441" i="1"/>
  <c r="I377" i="9"/>
  <c r="H300" i="9"/>
  <c r="P816" i="1"/>
  <c r="E790" i="1"/>
  <c r="W48" i="1"/>
  <c r="W62" i="1" s="1"/>
  <c r="E754" i="1" s="1"/>
  <c r="E749" i="1"/>
  <c r="D815" i="1"/>
  <c r="E300" i="9"/>
  <c r="I366" i="9"/>
  <c r="N748" i="1"/>
  <c r="E776" i="1"/>
  <c r="C204" i="9"/>
  <c r="E800" i="1"/>
  <c r="E792" i="1"/>
  <c r="D816" i="1"/>
  <c r="E737" i="1"/>
  <c r="E787" i="1"/>
  <c r="E44" i="9"/>
  <c r="E757" i="1"/>
  <c r="E108" i="9"/>
  <c r="H236" i="9"/>
  <c r="G816" i="1"/>
  <c r="C430" i="1"/>
  <c r="F815" i="1"/>
  <c r="M816" i="1"/>
  <c r="I372" i="9"/>
  <c r="E807" i="1"/>
  <c r="F332" i="9"/>
  <c r="I172" i="9"/>
  <c r="E775" i="1"/>
  <c r="C236" i="9"/>
  <c r="E783" i="1"/>
  <c r="D268" i="9"/>
  <c r="C12" i="9"/>
  <c r="I140" i="9"/>
  <c r="I300" i="9"/>
  <c r="E752" i="1"/>
  <c r="F814" i="10"/>
  <c r="T814" i="10"/>
  <c r="H814" i="10"/>
  <c r="R814" i="10"/>
  <c r="P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T52" i="1" s="1"/>
  <c r="BT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E746" i="1"/>
  <c r="I204" i="9"/>
  <c r="BD52" i="1"/>
  <c r="BD67" i="1" s="1"/>
  <c r="BD71" i="1" s="1"/>
  <c r="F52" i="1"/>
  <c r="F67" i="1" s="1"/>
  <c r="F71" i="1" s="1"/>
  <c r="CB52" i="1"/>
  <c r="CB67" i="1" s="1"/>
  <c r="M52" i="1"/>
  <c r="M67" i="1" s="1"/>
  <c r="AA52" i="1"/>
  <c r="AA67" i="1" s="1"/>
  <c r="AA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I76" i="9" l="1"/>
  <c r="V52" i="1"/>
  <c r="V67" i="1" s="1"/>
  <c r="J753" i="1" s="1"/>
  <c r="H52" i="1"/>
  <c r="H67" i="1" s="1"/>
  <c r="G52" i="1"/>
  <c r="G67" i="1" s="1"/>
  <c r="G71" i="1" s="1"/>
  <c r="C672" i="1" s="1"/>
  <c r="D52" i="1"/>
  <c r="D67" i="1" s="1"/>
  <c r="D71" i="1" s="1"/>
  <c r="C669" i="1" s="1"/>
  <c r="BN52" i="1"/>
  <c r="BN67" i="1" s="1"/>
  <c r="BN71" i="1" s="1"/>
  <c r="BM52" i="1"/>
  <c r="BM67" i="1" s="1"/>
  <c r="BM71" i="1" s="1"/>
  <c r="C638" i="1" s="1"/>
  <c r="BQ52" i="1"/>
  <c r="BQ67" i="1" s="1"/>
  <c r="BQ71" i="1" s="1"/>
  <c r="F309" i="9" s="1"/>
  <c r="M71" i="1"/>
  <c r="F53" i="9" s="1"/>
  <c r="H71" i="1"/>
  <c r="AJ52" i="1"/>
  <c r="AJ67" i="1" s="1"/>
  <c r="AJ71" i="1" s="1"/>
  <c r="AX52" i="1"/>
  <c r="AX67" i="1" s="1"/>
  <c r="AX71" i="1" s="1"/>
  <c r="C616" i="1" s="1"/>
  <c r="BV52" i="1"/>
  <c r="BV67" i="1" s="1"/>
  <c r="BV71" i="1" s="1"/>
  <c r="C567" i="1" s="1"/>
  <c r="T52" i="1"/>
  <c r="T67" i="1" s="1"/>
  <c r="AY52" i="1"/>
  <c r="AY67" i="1" s="1"/>
  <c r="AY71" i="1" s="1"/>
  <c r="BF52" i="1"/>
  <c r="BF67" i="1" s="1"/>
  <c r="BF71" i="1" s="1"/>
  <c r="I245" i="9" s="1"/>
  <c r="BP52" i="1"/>
  <c r="BP67" i="1" s="1"/>
  <c r="J799" i="1" s="1"/>
  <c r="BE52" i="1"/>
  <c r="BE67" i="1" s="1"/>
  <c r="BE71" i="1" s="1"/>
  <c r="AK52" i="1"/>
  <c r="AK67" i="1" s="1"/>
  <c r="AK71" i="1" s="1"/>
  <c r="C530" i="1" s="1"/>
  <c r="G530" i="1" s="1"/>
  <c r="AW52" i="1"/>
  <c r="AW67" i="1" s="1"/>
  <c r="AW71" i="1" s="1"/>
  <c r="G213" i="9" s="1"/>
  <c r="BY52" i="1"/>
  <c r="BY67" i="1" s="1"/>
  <c r="BY71" i="1" s="1"/>
  <c r="G341" i="9" s="1"/>
  <c r="AM52" i="1"/>
  <c r="AM67" i="1" s="1"/>
  <c r="AB52" i="1"/>
  <c r="AB67" i="1" s="1"/>
  <c r="C623" i="1"/>
  <c r="J803" i="1"/>
  <c r="I305" i="9"/>
  <c r="BT71" i="1"/>
  <c r="C565" i="1" s="1"/>
  <c r="F21" i="9"/>
  <c r="C499" i="1"/>
  <c r="G499" i="1" s="1"/>
  <c r="C671" i="1"/>
  <c r="C614" i="1"/>
  <c r="H245" i="9"/>
  <c r="C550" i="1"/>
  <c r="G550" i="1" s="1"/>
  <c r="AN52" i="1"/>
  <c r="AN67" i="1" s="1"/>
  <c r="J52" i="1"/>
  <c r="J67" i="1" s="1"/>
  <c r="AG52" i="1"/>
  <c r="AG67" i="1" s="1"/>
  <c r="AH52" i="1"/>
  <c r="AH67" i="1" s="1"/>
  <c r="BO52" i="1"/>
  <c r="BO67" i="1" s="1"/>
  <c r="BO71" i="1" s="1"/>
  <c r="C627" i="1" s="1"/>
  <c r="V71" i="1"/>
  <c r="C515" i="1" s="1"/>
  <c r="G515" i="1" s="1"/>
  <c r="AF52" i="1"/>
  <c r="AF67" i="1" s="1"/>
  <c r="AF71" i="1" s="1"/>
  <c r="C697" i="1" s="1"/>
  <c r="BX52" i="1"/>
  <c r="BX67" i="1" s="1"/>
  <c r="BX71" i="1" s="1"/>
  <c r="C644" i="1" s="1"/>
  <c r="P52" i="1"/>
  <c r="P67" i="1" s="1"/>
  <c r="I49" i="9" s="1"/>
  <c r="I149" i="9"/>
  <c r="E744" i="1"/>
  <c r="C702" i="1"/>
  <c r="E756" i="1"/>
  <c r="F44" i="9"/>
  <c r="D108" i="9"/>
  <c r="CE62" i="1"/>
  <c r="E816" i="1" s="1"/>
  <c r="H172" i="9"/>
  <c r="I277" i="9"/>
  <c r="E811" i="1"/>
  <c r="CE48" i="1"/>
  <c r="F76" i="9"/>
  <c r="E751" i="1"/>
  <c r="T71" i="1"/>
  <c r="C549" i="1"/>
  <c r="G245" i="9"/>
  <c r="C624" i="1"/>
  <c r="J747" i="1"/>
  <c r="H17" i="9"/>
  <c r="J739" i="1"/>
  <c r="J765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AP52" i="1"/>
  <c r="AP67" i="1" s="1"/>
  <c r="AP71" i="1" s="1"/>
  <c r="C707" i="1" s="1"/>
  <c r="AU52" i="1"/>
  <c r="AU67" i="1" s="1"/>
  <c r="AU71" i="1" s="1"/>
  <c r="U52" i="1"/>
  <c r="U67" i="1" s="1"/>
  <c r="U71" i="1" s="1"/>
  <c r="C686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E117" i="9" s="1"/>
  <c r="BB52" i="1"/>
  <c r="BB67" i="1" s="1"/>
  <c r="BB71" i="1" s="1"/>
  <c r="C547" i="1" s="1"/>
  <c r="L52" i="1"/>
  <c r="L67" i="1" s="1"/>
  <c r="L71" i="1" s="1"/>
  <c r="C677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I85" i="9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545" i="1" s="1"/>
  <c r="G545" i="1" s="1"/>
  <c r="N52" i="1"/>
  <c r="N67" i="1" s="1"/>
  <c r="N71" i="1" s="1"/>
  <c r="G53" i="9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D213" i="9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E341" i="9" s="1"/>
  <c r="BI52" i="1"/>
  <c r="BI67" i="1" s="1"/>
  <c r="BI71" i="1" s="1"/>
  <c r="C554" i="1" s="1"/>
  <c r="K52" i="1"/>
  <c r="K67" i="1" s="1"/>
  <c r="K71" i="1" s="1"/>
  <c r="H149" i="9"/>
  <c r="C701" i="1"/>
  <c r="C529" i="1"/>
  <c r="G529" i="1" s="1"/>
  <c r="D465" i="1"/>
  <c r="E177" i="9"/>
  <c r="H81" i="9"/>
  <c r="CB71" i="1"/>
  <c r="C573" i="1" s="1"/>
  <c r="F505" i="1"/>
  <c r="H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I273" i="9"/>
  <c r="J796" i="1"/>
  <c r="J779" i="10"/>
  <c r="J787" i="10"/>
  <c r="J803" i="10"/>
  <c r="J811" i="10"/>
  <c r="D27" i="7"/>
  <c r="B448" i="1"/>
  <c r="C497" i="1"/>
  <c r="G497" i="1" s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J751" i="1"/>
  <c r="F81" i="9"/>
  <c r="J782" i="1"/>
  <c r="I209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520" i="1"/>
  <c r="G520" i="1" s="1"/>
  <c r="C692" i="1"/>
  <c r="F117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63" i="1"/>
  <c r="G309" i="9"/>
  <c r="C626" i="1"/>
  <c r="D341" i="9"/>
  <c r="E782" i="10"/>
  <c r="E806" i="10"/>
  <c r="F516" i="1"/>
  <c r="D17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6" i="1"/>
  <c r="G506" i="1" s="1"/>
  <c r="H209" i="9" l="1"/>
  <c r="E814" i="10"/>
  <c r="J763" i="1"/>
  <c r="C695" i="1"/>
  <c r="G21" i="9"/>
  <c r="C523" i="1"/>
  <c r="G523" i="1" s="1"/>
  <c r="H213" i="9"/>
  <c r="C558" i="1"/>
  <c r="J780" i="1"/>
  <c r="J781" i="1"/>
  <c r="G209" i="9"/>
  <c r="J789" i="1"/>
  <c r="G17" i="9"/>
  <c r="C542" i="1"/>
  <c r="I241" i="9"/>
  <c r="C543" i="1"/>
  <c r="C631" i="1"/>
  <c r="C551" i="1"/>
  <c r="C629" i="1"/>
  <c r="C562" i="1"/>
  <c r="J735" i="1"/>
  <c r="C645" i="1"/>
  <c r="C642" i="1"/>
  <c r="F305" i="9"/>
  <c r="C570" i="1"/>
  <c r="C500" i="1"/>
  <c r="G500" i="1" s="1"/>
  <c r="C688" i="1"/>
  <c r="G337" i="9"/>
  <c r="J805" i="1"/>
  <c r="D309" i="9"/>
  <c r="D21" i="9"/>
  <c r="J738" i="1"/>
  <c r="D305" i="9"/>
  <c r="BP71" i="1"/>
  <c r="E309" i="9" s="1"/>
  <c r="G113" i="9"/>
  <c r="AB71" i="1"/>
  <c r="E305" i="9"/>
  <c r="C678" i="1"/>
  <c r="J800" i="1"/>
  <c r="C516" i="1"/>
  <c r="G516" i="1" s="1"/>
  <c r="J808" i="1"/>
  <c r="C687" i="1"/>
  <c r="D337" i="9"/>
  <c r="J798" i="1"/>
  <c r="H85" i="9"/>
  <c r="C535" i="1"/>
  <c r="G535" i="1" s="1"/>
  <c r="C528" i="1"/>
  <c r="G528" i="1" s="1"/>
  <c r="G149" i="9"/>
  <c r="G181" i="9"/>
  <c r="D373" i="9"/>
  <c r="C620" i="1"/>
  <c r="C643" i="1"/>
  <c r="C568" i="1"/>
  <c r="I309" i="9"/>
  <c r="F213" i="9"/>
  <c r="H550" i="1"/>
  <c r="C245" i="9"/>
  <c r="C498" i="1"/>
  <c r="G498" i="1" s="1"/>
  <c r="C628" i="1"/>
  <c r="F277" i="9"/>
  <c r="C711" i="1"/>
  <c r="C560" i="1"/>
  <c r="C640" i="1"/>
  <c r="C552" i="1"/>
  <c r="C632" i="1"/>
  <c r="C531" i="1"/>
  <c r="G531" i="1" s="1"/>
  <c r="E245" i="9"/>
  <c r="C508" i="1"/>
  <c r="G508" i="1" s="1"/>
  <c r="C572" i="1"/>
  <c r="D277" i="9"/>
  <c r="C621" i="1"/>
  <c r="C703" i="1"/>
  <c r="C680" i="1"/>
  <c r="C670" i="1"/>
  <c r="F341" i="9"/>
  <c r="C617" i="1"/>
  <c r="C569" i="1"/>
  <c r="C518" i="1"/>
  <c r="G518" i="1" s="1"/>
  <c r="D117" i="9"/>
  <c r="C690" i="1"/>
  <c r="C85" i="9"/>
  <c r="C682" i="1"/>
  <c r="C510" i="1"/>
  <c r="G510" i="1" s="1"/>
  <c r="C679" i="1"/>
  <c r="C525" i="1"/>
  <c r="G525" i="1" s="1"/>
  <c r="C713" i="1"/>
  <c r="I21" i="9"/>
  <c r="C546" i="1"/>
  <c r="G546" i="1" s="1"/>
  <c r="D245" i="9"/>
  <c r="C630" i="1"/>
  <c r="C511" i="1"/>
  <c r="D85" i="9"/>
  <c r="C540" i="1"/>
  <c r="G540" i="1" s="1"/>
  <c r="C712" i="1"/>
  <c r="E213" i="9"/>
  <c r="D145" i="9"/>
  <c r="C709" i="1"/>
  <c r="C519" i="1"/>
  <c r="G519" i="1" s="1"/>
  <c r="C683" i="1"/>
  <c r="E53" i="9"/>
  <c r="C505" i="1"/>
  <c r="G505" i="1" s="1"/>
  <c r="C49" i="9"/>
  <c r="J71" i="1"/>
  <c r="J741" i="1"/>
  <c r="J771" i="1"/>
  <c r="AN71" i="1"/>
  <c r="C639" i="1"/>
  <c r="H309" i="9"/>
  <c r="C564" i="1"/>
  <c r="C507" i="1"/>
  <c r="G507" i="1" s="1"/>
  <c r="C539" i="1"/>
  <c r="G539" i="1" s="1"/>
  <c r="D149" i="9"/>
  <c r="C117" i="9"/>
  <c r="C517" i="1"/>
  <c r="G517" i="1" s="1"/>
  <c r="C689" i="1"/>
  <c r="C674" i="1"/>
  <c r="C566" i="1"/>
  <c r="C641" i="1"/>
  <c r="C341" i="9"/>
  <c r="C647" i="1"/>
  <c r="C514" i="1"/>
  <c r="G514" i="1" s="1"/>
  <c r="I181" i="9"/>
  <c r="C691" i="1"/>
  <c r="C213" i="9"/>
  <c r="C634" i="1"/>
  <c r="C524" i="1"/>
  <c r="C696" i="1"/>
  <c r="C149" i="9"/>
  <c r="G85" i="9"/>
  <c r="E145" i="9"/>
  <c r="J764" i="1"/>
  <c r="AG71" i="1"/>
  <c r="H277" i="9"/>
  <c r="C557" i="1"/>
  <c r="C637" i="1"/>
  <c r="C676" i="1"/>
  <c r="D53" i="9"/>
  <c r="C504" i="1"/>
  <c r="G504" i="1" s="1"/>
  <c r="F181" i="9"/>
  <c r="C534" i="1"/>
  <c r="G534" i="1" s="1"/>
  <c r="C706" i="1"/>
  <c r="C553" i="1"/>
  <c r="C710" i="1"/>
  <c r="E277" i="9"/>
  <c r="C618" i="1"/>
  <c r="F145" i="9"/>
  <c r="AH71" i="1"/>
  <c r="D615" i="1"/>
  <c r="C708" i="1"/>
  <c r="H181" i="9"/>
  <c r="C373" i="9"/>
  <c r="C622" i="1"/>
  <c r="I364" i="9"/>
  <c r="H117" i="9"/>
  <c r="E815" i="1"/>
  <c r="C428" i="1"/>
  <c r="C694" i="1"/>
  <c r="H544" i="1"/>
  <c r="H520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 s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H516" i="1" l="1"/>
  <c r="C561" i="1"/>
  <c r="C648" i="1"/>
  <c r="M716" i="1" s="1"/>
  <c r="Y816" i="1" s="1"/>
  <c r="C693" i="1"/>
  <c r="G117" i="9"/>
  <c r="C521" i="1"/>
  <c r="G521" i="1" s="1"/>
  <c r="H508" i="1"/>
  <c r="H498" i="1"/>
  <c r="H514" i="1"/>
  <c r="H518" i="1"/>
  <c r="H517" i="1"/>
  <c r="H54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5" i="1"/>
  <c r="D639" i="1"/>
  <c r="D686" i="1"/>
  <c r="D699" i="1"/>
  <c r="D631" i="1"/>
  <c r="D706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22" i="1"/>
  <c r="D628" i="1"/>
  <c r="D711" i="1"/>
  <c r="D68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704" i="1"/>
  <c r="D700" i="1"/>
  <c r="D623" i="1"/>
  <c r="D705" i="1"/>
  <c r="D675" i="1"/>
  <c r="D630" i="1"/>
  <c r="C698" i="1"/>
  <c r="C526" i="1"/>
  <c r="E149" i="9"/>
  <c r="C21" i="9"/>
  <c r="C668" i="1"/>
  <c r="C496" i="1"/>
  <c r="C699" i="1"/>
  <c r="F149" i="9"/>
  <c r="C527" i="1"/>
  <c r="G527" i="1" s="1"/>
  <c r="C675" i="1"/>
  <c r="C53" i="9"/>
  <c r="C503" i="1"/>
  <c r="G503" i="1" s="1"/>
  <c r="G511" i="1"/>
  <c r="H511" i="1" s="1"/>
  <c r="G524" i="1"/>
  <c r="H524" i="1" s="1"/>
  <c r="C533" i="1"/>
  <c r="G533" i="1" s="1"/>
  <c r="E181" i="9"/>
  <c r="C705" i="1"/>
  <c r="H509" i="1"/>
  <c r="H512" i="1"/>
  <c r="J734" i="1"/>
  <c r="J815" i="1" s="1"/>
  <c r="CE67" i="1"/>
  <c r="CE71" i="1" s="1"/>
  <c r="C716" i="1" s="1"/>
  <c r="C17" i="9"/>
  <c r="J733" i="10"/>
  <c r="J814" i="10" s="1"/>
  <c r="F545" i="1"/>
  <c r="H545" i="1" s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E623" i="1"/>
  <c r="E716" i="1" s="1"/>
  <c r="C715" i="1"/>
  <c r="E612" i="1"/>
  <c r="D715" i="1"/>
  <c r="I373" i="9"/>
  <c r="G496" i="1"/>
  <c r="H496" i="1" s="1"/>
  <c r="G526" i="1"/>
  <c r="H526" i="1" s="1"/>
  <c r="C433" i="1"/>
  <c r="C441" i="1" s="1"/>
  <c r="J816" i="1"/>
  <c r="I369" i="9"/>
  <c r="J815" i="10"/>
  <c r="E639" i="1" l="1"/>
  <c r="E710" i="1"/>
  <c r="E638" i="1"/>
  <c r="E676" i="1"/>
  <c r="E711" i="1"/>
  <c r="E668" i="1"/>
  <c r="E694" i="1"/>
  <c r="E647" i="1"/>
  <c r="E702" i="1"/>
  <c r="E669" i="1"/>
  <c r="E643" i="1"/>
  <c r="E632" i="1"/>
  <c r="E646" i="1"/>
  <c r="E712" i="1"/>
  <c r="E681" i="1"/>
  <c r="E631" i="1"/>
  <c r="E685" i="1"/>
  <c r="E682" i="1"/>
  <c r="E708" i="1"/>
  <c r="E671" i="1"/>
  <c r="E699" i="1"/>
  <c r="E709" i="1"/>
  <c r="E680" i="1"/>
  <c r="E703" i="1"/>
  <c r="E683" i="1"/>
  <c r="E678" i="1"/>
  <c r="E687" i="1"/>
  <c r="E675" i="1"/>
  <c r="E633" i="1"/>
  <c r="E626" i="1"/>
  <c r="E635" i="1"/>
  <c r="E627" i="1"/>
  <c r="E701" i="1"/>
  <c r="E693" i="1"/>
  <c r="E689" i="1"/>
  <c r="E625" i="1"/>
  <c r="E700" i="1"/>
  <c r="E706" i="1"/>
  <c r="E713" i="1"/>
  <c r="E645" i="1"/>
  <c r="E670" i="1"/>
  <c r="E636" i="1"/>
  <c r="E642" i="1"/>
  <c r="E673" i="1"/>
  <c r="E691" i="1"/>
  <c r="E686" i="1"/>
  <c r="E705" i="1"/>
  <c r="E697" i="1"/>
  <c r="E707" i="1"/>
  <c r="E624" i="1"/>
  <c r="E679" i="1"/>
  <c r="E634" i="1"/>
  <c r="E690" i="1"/>
  <c r="E674" i="1"/>
  <c r="E677" i="1"/>
  <c r="E704" i="1"/>
  <c r="E637" i="1"/>
  <c r="E692" i="1"/>
  <c r="E695" i="1"/>
  <c r="E628" i="1"/>
  <c r="E641" i="1"/>
  <c r="E698" i="1"/>
  <c r="E688" i="1"/>
  <c r="E630" i="1"/>
  <c r="E684" i="1"/>
  <c r="E640" i="1"/>
  <c r="E629" i="1"/>
  <c r="E696" i="1"/>
  <c r="E672" i="1"/>
  <c r="E644" i="1"/>
  <c r="E715" i="1" l="1"/>
  <c r="F624" i="1"/>
  <c r="F689" i="1" l="1"/>
  <c r="F675" i="1"/>
  <c r="F711" i="1"/>
  <c r="F634" i="1"/>
  <c r="F676" i="1"/>
  <c r="F704" i="1"/>
  <c r="F627" i="1"/>
  <c r="F700" i="1"/>
  <c r="F674" i="1"/>
  <c r="F713" i="1"/>
  <c r="F709" i="1"/>
  <c r="F683" i="1"/>
  <c r="F625" i="1"/>
  <c r="F643" i="1"/>
  <c r="F681" i="1"/>
  <c r="F680" i="1"/>
  <c r="F703" i="1"/>
  <c r="F641" i="1"/>
  <c r="F629" i="1"/>
  <c r="F626" i="1"/>
  <c r="F637" i="1"/>
  <c r="F678" i="1"/>
  <c r="F694" i="1"/>
  <c r="F635" i="1"/>
  <c r="F705" i="1"/>
  <c r="F631" i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F639" i="1"/>
  <c r="F707" i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32" i="1"/>
  <c r="F693" i="1"/>
  <c r="F642" i="1"/>
  <c r="F672" i="1"/>
  <c r="F644" i="1"/>
  <c r="F677" i="1"/>
  <c r="F673" i="1"/>
  <c r="F685" i="1"/>
  <c r="F716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78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704" i="1"/>
  <c r="G699" i="1"/>
  <c r="G647" i="1"/>
  <c r="G668" i="1"/>
  <c r="G684" i="1"/>
  <c r="G675" i="1"/>
  <c r="G637" i="1"/>
  <c r="G635" i="1"/>
  <c r="G685" i="1"/>
  <c r="G713" i="1"/>
  <c r="G716" i="1"/>
  <c r="G643" i="1"/>
  <c r="G633" i="1"/>
  <c r="G641" i="1"/>
  <c r="G697" i="1"/>
  <c r="G708" i="1"/>
  <c r="G644" i="1"/>
  <c r="G702" i="1"/>
  <c r="G645" i="1"/>
  <c r="G626" i="1"/>
  <c r="G638" i="1"/>
  <c r="G640" i="1"/>
  <c r="G690" i="1"/>
  <c r="G711" i="1"/>
  <c r="G695" i="1"/>
  <c r="G646" i="1"/>
  <c r="G634" i="1"/>
  <c r="G669" i="1"/>
  <c r="G689" i="1"/>
  <c r="G688" i="1"/>
  <c r="G636" i="1"/>
  <c r="G710" i="1"/>
  <c r="G706" i="1"/>
  <c r="G715" i="1" l="1"/>
  <c r="H628" i="1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79" i="1"/>
  <c r="H686" i="1"/>
  <c r="H632" i="1"/>
  <c r="H676" i="1"/>
  <c r="H668" i="1"/>
  <c r="H669" i="1"/>
  <c r="H646" i="1"/>
  <c r="H630" i="1"/>
  <c r="H681" i="1"/>
  <c r="H693" i="1"/>
  <c r="H692" i="1"/>
  <c r="H640" i="1"/>
  <c r="H677" i="1"/>
  <c r="H683" i="1"/>
  <c r="H675" i="1"/>
  <c r="H703" i="1"/>
  <c r="H712" i="1"/>
  <c r="H636" i="1"/>
  <c r="H707" i="1"/>
  <c r="H698" i="1"/>
  <c r="H685" i="1"/>
  <c r="H634" i="1"/>
  <c r="H689" i="1"/>
  <c r="H706" i="1"/>
  <c r="H708" i="1"/>
  <c r="H716" i="1"/>
  <c r="H700" i="1"/>
  <c r="H680" i="1"/>
  <c r="H682" i="1"/>
  <c r="H633" i="1"/>
  <c r="H647" i="1"/>
  <c r="H638" i="1"/>
  <c r="H715" i="1" l="1"/>
  <c r="I629" i="1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99" i="1"/>
  <c r="I691" i="1"/>
  <c r="I688" i="1"/>
  <c r="I698" i="1"/>
  <c r="I701" i="1"/>
  <c r="I679" i="1"/>
  <c r="I632" i="1"/>
  <c r="I686" i="1"/>
  <c r="I631" i="1"/>
  <c r="I703" i="1"/>
  <c r="I710" i="1"/>
  <c r="I696" i="1"/>
  <c r="I644" i="1"/>
  <c r="I680" i="1"/>
  <c r="I695" i="1"/>
  <c r="I713" i="1"/>
  <c r="I643" i="1"/>
  <c r="I678" i="1"/>
  <c r="I633" i="1"/>
  <c r="I635" i="1"/>
  <c r="I675" i="1"/>
  <c r="I690" i="1"/>
  <c r="I639" i="1"/>
  <c r="I638" i="1"/>
  <c r="I682" i="1"/>
  <c r="I706" i="1"/>
  <c r="I685" i="1"/>
  <c r="I668" i="1"/>
  <c r="I687" i="1"/>
  <c r="I671" i="1"/>
  <c r="I707" i="1"/>
  <c r="I715" i="1" l="1"/>
  <c r="J630" i="1"/>
  <c r="J713" i="1" l="1"/>
  <c r="J683" i="1"/>
  <c r="J675" i="1"/>
  <c r="J696" i="1"/>
  <c r="J689" i="1"/>
  <c r="J682" i="1"/>
  <c r="J641" i="1"/>
  <c r="J684" i="1"/>
  <c r="J632" i="1"/>
  <c r="J698" i="1"/>
  <c r="J669" i="1"/>
  <c r="J672" i="1"/>
  <c r="J705" i="1"/>
  <c r="J687" i="1"/>
  <c r="J643" i="1"/>
  <c r="J671" i="1"/>
  <c r="J635" i="1"/>
  <c r="J707" i="1"/>
  <c r="J700" i="1"/>
  <c r="J697" i="1"/>
  <c r="J638" i="1"/>
  <c r="J710" i="1"/>
  <c r="J639" i="1"/>
  <c r="J642" i="1"/>
  <c r="J711" i="1"/>
  <c r="J694" i="1"/>
  <c r="J678" i="1"/>
  <c r="J693" i="1"/>
  <c r="J709" i="1"/>
  <c r="J640" i="1"/>
  <c r="J692" i="1"/>
  <c r="J668" i="1"/>
  <c r="J706" i="1"/>
  <c r="J699" i="1"/>
  <c r="J703" i="1"/>
  <c r="J695" i="1"/>
  <c r="J676" i="1"/>
  <c r="J633" i="1"/>
  <c r="J644" i="1"/>
  <c r="J631" i="1"/>
  <c r="J686" i="1"/>
  <c r="J645" i="1"/>
  <c r="J691" i="1"/>
  <c r="J688" i="1"/>
  <c r="J637" i="1"/>
  <c r="J712" i="1"/>
  <c r="J702" i="1"/>
  <c r="J680" i="1"/>
  <c r="J670" i="1"/>
  <c r="J636" i="1"/>
  <c r="J685" i="1"/>
  <c r="J716" i="1"/>
  <c r="J677" i="1"/>
  <c r="J634" i="1"/>
  <c r="J674" i="1"/>
  <c r="J673" i="1"/>
  <c r="J690" i="1"/>
  <c r="J679" i="1"/>
  <c r="J701" i="1"/>
  <c r="J704" i="1"/>
  <c r="J681" i="1"/>
  <c r="J646" i="1"/>
  <c r="J647" i="1"/>
  <c r="J708" i="1"/>
  <c r="J715" i="1" l="1"/>
  <c r="L647" i="1"/>
  <c r="L705" i="1" s="1"/>
  <c r="K644" i="1"/>
  <c r="K716" i="1" s="1"/>
  <c r="L676" i="1"/>
  <c r="L710" i="1"/>
  <c r="L683" i="1"/>
  <c r="L695" i="1"/>
  <c r="L669" i="1"/>
  <c r="L693" i="1"/>
  <c r="K668" i="1" l="1"/>
  <c r="K700" i="1"/>
  <c r="K684" i="1"/>
  <c r="K706" i="1"/>
  <c r="K698" i="1"/>
  <c r="K670" i="1"/>
  <c r="K707" i="1"/>
  <c r="L694" i="1"/>
  <c r="K681" i="1"/>
  <c r="K683" i="1"/>
  <c r="K686" i="1"/>
  <c r="L680" i="1"/>
  <c r="L690" i="1"/>
  <c r="L704" i="1"/>
  <c r="K676" i="1"/>
  <c r="M676" i="1" s="1"/>
  <c r="D55" i="9" s="1"/>
  <c r="K692" i="1"/>
  <c r="L677" i="1"/>
  <c r="L687" i="1"/>
  <c r="L698" i="1"/>
  <c r="M698" i="1" s="1"/>
  <c r="E151" i="9" s="1"/>
  <c r="L697" i="1"/>
  <c r="K709" i="1"/>
  <c r="K685" i="1"/>
  <c r="K710" i="1"/>
  <c r="M710" i="1" s="1"/>
  <c r="Y776" i="1" s="1"/>
  <c r="K669" i="1"/>
  <c r="M669" i="1" s="1"/>
  <c r="D23" i="9" s="1"/>
  <c r="K688" i="1"/>
  <c r="K713" i="1"/>
  <c r="K708" i="1"/>
  <c r="K694" i="1"/>
  <c r="K696" i="1"/>
  <c r="K678" i="1"/>
  <c r="K680" i="1"/>
  <c r="K712" i="1"/>
  <c r="L706" i="1"/>
  <c r="L672" i="1"/>
  <c r="L686" i="1"/>
  <c r="M686" i="1" s="1"/>
  <c r="Y752" i="1" s="1"/>
  <c r="L668" i="1"/>
  <c r="M668" i="1" s="1"/>
  <c r="L673" i="1"/>
  <c r="L670" i="1"/>
  <c r="M670" i="1" s="1"/>
  <c r="E23" i="9" s="1"/>
  <c r="L713" i="1"/>
  <c r="M713" i="1" s="1"/>
  <c r="F215" i="9" s="1"/>
  <c r="L691" i="1"/>
  <c r="L682" i="1"/>
  <c r="L684" i="1"/>
  <c r="L671" i="1"/>
  <c r="L696" i="1"/>
  <c r="M696" i="1" s="1"/>
  <c r="Y762" i="1" s="1"/>
  <c r="L685" i="1"/>
  <c r="L712" i="1"/>
  <c r="L678" i="1"/>
  <c r="L675" i="1"/>
  <c r="L699" i="1"/>
  <c r="L700" i="1"/>
  <c r="M700" i="1" s="1"/>
  <c r="Y766" i="1" s="1"/>
  <c r="L708" i="1"/>
  <c r="M708" i="1" s="1"/>
  <c r="H183" i="9" s="1"/>
  <c r="L681" i="1"/>
  <c r="M681" i="1" s="1"/>
  <c r="I55" i="9" s="1"/>
  <c r="L701" i="1"/>
  <c r="L703" i="1"/>
  <c r="L709" i="1"/>
  <c r="L711" i="1"/>
  <c r="K711" i="1"/>
  <c r="K703" i="1"/>
  <c r="M703" i="1" s="1"/>
  <c r="C183" i="9" s="1"/>
  <c r="K671" i="1"/>
  <c r="M671" i="1" s="1"/>
  <c r="K673" i="1"/>
  <c r="K701" i="1"/>
  <c r="M701" i="1" s="1"/>
  <c r="Y767" i="1" s="1"/>
  <c r="K695" i="1"/>
  <c r="M695" i="1" s="1"/>
  <c r="Y761" i="1" s="1"/>
  <c r="K697" i="1"/>
  <c r="K705" i="1"/>
  <c r="M705" i="1" s="1"/>
  <c r="K682" i="1"/>
  <c r="M682" i="1" s="1"/>
  <c r="Y748" i="1" s="1"/>
  <c r="K675" i="1"/>
  <c r="K704" i="1"/>
  <c r="M704" i="1" s="1"/>
  <c r="Y770" i="1" s="1"/>
  <c r="K699" i="1"/>
  <c r="K679" i="1"/>
  <c r="K672" i="1"/>
  <c r="M672" i="1" s="1"/>
  <c r="G23" i="9" s="1"/>
  <c r="K677" i="1"/>
  <c r="K689" i="1"/>
  <c r="K687" i="1"/>
  <c r="K674" i="1"/>
  <c r="K690" i="1"/>
  <c r="M690" i="1" s="1"/>
  <c r="D119" i="9" s="1"/>
  <c r="K693" i="1"/>
  <c r="M693" i="1" s="1"/>
  <c r="K691" i="1"/>
  <c r="K702" i="1"/>
  <c r="L692" i="1"/>
  <c r="L674" i="1"/>
  <c r="L716" i="1"/>
  <c r="L707" i="1"/>
  <c r="L689" i="1"/>
  <c r="L688" i="1"/>
  <c r="L679" i="1"/>
  <c r="L702" i="1"/>
  <c r="M702" i="1" s="1"/>
  <c r="I151" i="9" s="1"/>
  <c r="M683" i="1"/>
  <c r="Y749" i="1" s="1"/>
  <c r="M694" i="1"/>
  <c r="Y760" i="1" s="1"/>
  <c r="M706" i="1" l="1"/>
  <c r="F183" i="9" s="1"/>
  <c r="M697" i="1"/>
  <c r="Y763" i="1" s="1"/>
  <c r="M707" i="1"/>
  <c r="Y773" i="1" s="1"/>
  <c r="M684" i="1"/>
  <c r="Y750" i="1" s="1"/>
  <c r="M692" i="1"/>
  <c r="F119" i="9" s="1"/>
  <c r="M680" i="1"/>
  <c r="H55" i="9" s="1"/>
  <c r="M677" i="1"/>
  <c r="E55" i="9" s="1"/>
  <c r="M687" i="1"/>
  <c r="H87" i="9" s="1"/>
  <c r="M688" i="1"/>
  <c r="I87" i="9" s="1"/>
  <c r="M709" i="1"/>
  <c r="I183" i="9" s="1"/>
  <c r="M685" i="1"/>
  <c r="Y751" i="1" s="1"/>
  <c r="M678" i="1"/>
  <c r="F55" i="9" s="1"/>
  <c r="M712" i="1"/>
  <c r="Y778" i="1" s="1"/>
  <c r="L715" i="1"/>
  <c r="Y735" i="1"/>
  <c r="Y779" i="1"/>
  <c r="M675" i="1"/>
  <c r="Y741" i="1" s="1"/>
  <c r="M691" i="1"/>
  <c r="E119" i="9" s="1"/>
  <c r="M679" i="1"/>
  <c r="G55" i="9" s="1"/>
  <c r="M711" i="1"/>
  <c r="Y777" i="1" s="1"/>
  <c r="M674" i="1"/>
  <c r="Y740" i="1" s="1"/>
  <c r="M699" i="1"/>
  <c r="Y765" i="1" s="1"/>
  <c r="M673" i="1"/>
  <c r="Y739" i="1" s="1"/>
  <c r="Y743" i="1"/>
  <c r="K715" i="1"/>
  <c r="M689" i="1"/>
  <c r="C119" i="9" s="1"/>
  <c r="H119" i="9"/>
  <c r="Y769" i="1"/>
  <c r="Y759" i="1"/>
  <c r="G119" i="9"/>
  <c r="Y771" i="1"/>
  <c r="E183" i="9"/>
  <c r="F23" i="9"/>
  <c r="Y737" i="1"/>
  <c r="Y742" i="1"/>
  <c r="Y756" i="1"/>
  <c r="Y736" i="1"/>
  <c r="Y774" i="1"/>
  <c r="C151" i="9"/>
  <c r="Y746" i="1"/>
  <c r="Y764" i="1"/>
  <c r="Y758" i="1"/>
  <c r="D183" i="9"/>
  <c r="D87" i="9"/>
  <c r="G87" i="9"/>
  <c r="G151" i="9"/>
  <c r="G183" i="9"/>
  <c r="Y768" i="1"/>
  <c r="Y738" i="1"/>
  <c r="D151" i="9"/>
  <c r="H151" i="9"/>
  <c r="C215" i="9"/>
  <c r="C87" i="9"/>
  <c r="Y772" i="1"/>
  <c r="I119" i="9"/>
  <c r="Y747" i="1"/>
  <c r="Y734" i="1"/>
  <c r="C23" i="9"/>
  <c r="E87" i="9" l="1"/>
  <c r="M715" i="1"/>
  <c r="Y753" i="1"/>
  <c r="F151" i="9"/>
  <c r="Y757" i="1"/>
  <c r="C55" i="9"/>
  <c r="Y754" i="1"/>
  <c r="Y775" i="1"/>
  <c r="F87" i="9"/>
  <c r="Y744" i="1"/>
  <c r="Y745" i="1"/>
  <c r="E215" i="9"/>
  <c r="I23" i="9"/>
  <c r="D215" i="9"/>
  <c r="H23" i="9"/>
  <c r="Y755" i="1"/>
  <c r="Y815" i="1" l="1"/>
</calcChain>
</file>

<file path=xl/sharedStrings.xml><?xml version="1.0" encoding="utf-8"?>
<sst xmlns="http://schemas.openxmlformats.org/spreadsheetml/2006/main" count="4940" uniqueCount="1282">
  <si>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</si>
  <si>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</si>
  <si>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</si>
  <si>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</si>
  <si>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</si>
  <si>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</si>
  <si>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</si>
  <si>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</si>
  <si>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</si>
  <si>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</si>
  <si>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</si>
  <si>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</si>
  <si>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</si>
  <si>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</si>
  <si>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</si>
  <si>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</si>
  <si>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</si>
  <si>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</si>
  <si>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</si>
  <si>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</si>
  <si>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</si>
  <si>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</si>
  <si>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</si>
  <si>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</si>
  <si>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</si>
  <si>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</si>
  <si>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</si>
  <si>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</si>
  <si>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</si>
  <si>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</si>
  <si>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</si>
  <si>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</si>
  <si>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</si>
  <si>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</si>
  <si>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</si>
  <si>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</si>
  <si>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</si>
  <si>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</si>
  <si>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</si>
  <si>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</si>
  <si>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</si>
  <si>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</si>
  <si>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</si>
  <si>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</si>
  <si>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</si>
  <si>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</si>
  <si>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</si>
  <si>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</si>
  <si>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</si>
  <si>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</si>
  <si>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</si>
  <si>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</si>
  <si>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</si>
  <si>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</si>
  <si>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</si>
  <si>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</si>
  <si>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</si>
  <si>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</si>
  <si>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</si>
  <si>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</si>
  <si>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</si>
  <si>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</si>
  <si>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</si>
  <si>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</si>
  <si>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</si>
  <si>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</si>
  <si>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</si>
  <si>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</si>
  <si>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</si>
  <si>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</si>
  <si>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</si>
  <si>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</si>
  <si>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</si>
  <si>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</si>
  <si>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</si>
  <si>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</si>
  <si>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</si>
  <si>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</si>
  <si>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</si>
  <si>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</si>
  <si>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</si>
  <si>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</si>
  <si>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</si>
  <si>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</si>
  <si>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</si>
  <si>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</si>
  <si>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</si>
  <si>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</si>
  <si>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</si>
  <si>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</si>
  <si>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</si>
  <si>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</si>
  <si>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</si>
  <si>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</si>
  <si>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</si>
  <si>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</si>
  <si>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</si>
  <si>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</si>
  <si>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</si>
  <si>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</si>
  <si>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</si>
  <si>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</si>
  <si>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</si>
  <si>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</si>
  <si>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</si>
  <si>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</si>
  <si>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</si>
  <si>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</si>
  <si>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</si>
  <si>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</si>
  <si>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</si>
  <si>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</si>
  <si>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</si>
  <si>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</si>
  <si>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</si>
  <si>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</si>
  <si>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</si>
  <si>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</si>
  <si>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</si>
  <si>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</si>
  <si>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</si>
  <si>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</si>
  <si>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</si>
  <si>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</si>
  <si>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</si>
  <si>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</si>
  <si>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</si>
  <si>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</si>
  <si>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</si>
  <si>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</si>
  <si>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</si>
  <si>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</si>
  <si>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</si>
  <si>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</si>
  <si>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</si>
  <si>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</si>
  <si>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</si>
  <si>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</si>
  <si>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</si>
  <si>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</si>
  <si>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</si>
  <si>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</si>
  <si>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</si>
  <si>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</si>
  <si>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</si>
  <si>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</si>
  <si>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</si>
  <si>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</si>
  <si>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</si>
  <si>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</si>
  <si>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</si>
  <si>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</si>
  <si>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</si>
  <si>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</si>
  <si>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</si>
  <si>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</si>
  <si>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</si>
  <si>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</si>
  <si>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</si>
  <si>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</si>
  <si>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</si>
  <si>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</si>
  <si>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</si>
  <si>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</si>
  <si>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</si>
  <si>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</si>
  <si>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</si>
  <si>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</si>
  <si>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</si>
  <si>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</si>
  <si>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</si>
  <si>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</si>
  <si>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</si>
  <si>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</si>
  <si>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</si>
  <si>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</si>
  <si>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</si>
  <si>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</si>
  <si>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</si>
  <si>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</si>
  <si>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</si>
  <si>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</si>
  <si>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</si>
  <si>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</si>
  <si>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</si>
  <si>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</si>
  <si>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</si>
  <si>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</si>
  <si>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</si>
  <si>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</si>
  <si>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</si>
  <si>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</si>
  <si>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</si>
  <si>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</si>
  <si>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</si>
  <si>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</si>
  <si>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</si>
  <si>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</si>
  <si>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</si>
  <si>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</si>
  <si>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</si>
  <si>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</si>
  <si>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</si>
  <si>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</si>
  <si>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</si>
  <si>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</si>
  <si>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</si>
  <si>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</si>
  <si>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</si>
  <si>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</si>
  <si>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</si>
  <si>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</si>
  <si>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</si>
  <si>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</si>
  <si>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</si>
  <si>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</si>
  <si>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</si>
  <si>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</si>
  <si>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</si>
  <si>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</si>
  <si>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</si>
  <si>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</si>
  <si>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</si>
  <si>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</si>
  <si>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</si>
  <si>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</si>
  <si>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</si>
  <si>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</si>
  <si>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</si>
  <si>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</si>
  <si>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</si>
  <si>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</si>
  <si>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</si>
  <si>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</si>
  <si>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</si>
  <si>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</si>
  <si>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</si>
  <si>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</si>
  <si>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</si>
  <si>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</si>
  <si>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</si>
  <si>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</si>
  <si>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</si>
  <si>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</si>
  <si>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</si>
  <si>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</si>
  <si>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</si>
  <si>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</si>
  <si>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</si>
  <si>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</si>
  <si>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</si>
  <si>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</si>
  <si>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</si>
  <si>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</si>
  <si>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</si>
  <si>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</si>
  <si>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</si>
  <si>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</si>
  <si>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</si>
  <si>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</si>
  <si>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</si>
  <si>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</si>
  <si>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</si>
  <si>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</si>
  <si>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</si>
  <si>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</si>
  <si>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</si>
  <si>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</si>
  <si>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</si>
  <si>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</si>
  <si>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</si>
  <si>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</si>
  <si>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</si>
  <si>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</si>
  <si>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</si>
  <si>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</si>
  <si>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</si>
  <si>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</si>
  <si>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</si>
  <si>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</si>
  <si>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</si>
  <si>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</si>
  <si>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</si>
  <si>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</si>
  <si>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</si>
  <si>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</si>
  <si>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</si>
  <si>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</si>
  <si>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</si>
  <si>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</si>
  <si>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</si>
  <si>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</si>
  <si>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</si>
  <si>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</si>
  <si>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</si>
  <si>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</si>
  <si>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</si>
  <si>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</si>
  <si>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</si>
  <si>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</si>
  <si>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</si>
  <si>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</si>
  <si>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</si>
  <si>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</si>
  <si>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</si>
  <si>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</si>
  <si>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</si>
  <si>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</si>
  <si>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</si>
  <si>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</si>
  <si>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</si>
  <si>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</si>
  <si>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</si>
  <si>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</si>
  <si>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</si>
  <si>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</si>
  <si>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</si>
  <si>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</si>
  <si>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</si>
  <si>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</si>
  <si>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</si>
  <si>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</si>
  <si>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</si>
  <si>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</si>
  <si>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</si>
  <si>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</si>
  <si>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</si>
  <si>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</si>
  <si>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</si>
  <si>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</si>
  <si>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</si>
  <si>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</si>
  <si>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</si>
  <si>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</si>
  <si>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</si>
  <si>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</si>
  <si>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</si>
  <si>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</si>
  <si>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</si>
  <si>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</si>
  <si>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</si>
  <si>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</si>
  <si>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</si>
  <si>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</si>
  <si>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</si>
  <si>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</si>
  <si>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</si>
  <si>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</si>
  <si>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</si>
  <si>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</si>
  <si>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</si>
  <si>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</si>
  <si>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</si>
  <si>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</si>
  <si>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</si>
  <si>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</si>
  <si>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</si>
  <si>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</si>
  <si>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</si>
  <si>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</si>
  <si>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</si>
  <si>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</si>
  <si>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</si>
  <si>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</si>
  <si>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</si>
  <si>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</si>
  <si>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</si>
  <si>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</si>
  <si>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</si>
  <si>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</si>
  <si>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</si>
  <si>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</si>
  <si>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</si>
  <si>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</si>
  <si>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</si>
  <si>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</si>
  <si>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</si>
  <si>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</si>
  <si>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</si>
  <si>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</si>
  <si>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</si>
  <si>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</si>
  <si>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</si>
  <si>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</si>
  <si>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</si>
  <si>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</si>
  <si>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</si>
  <si>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</si>
  <si>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</si>
  <si>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</si>
  <si>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</si>
  <si>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</si>
  <si>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</si>
  <si>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</si>
  <si>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</si>
  <si>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</si>
  <si>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</si>
  <si>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</si>
  <si>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</si>
  <si>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</si>
  <si>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</si>
  <si>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</si>
  <si>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</si>
  <si>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</si>
  <si>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</si>
  <si>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</si>
  <si>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</si>
  <si>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</si>
  <si>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</si>
  <si>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</si>
  <si>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</si>
  <si>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</si>
  <si>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</si>
  <si>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</si>
  <si>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</si>
  <si>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</si>
  <si>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</si>
  <si>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</si>
  <si>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</si>
  <si>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</si>
  <si>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</si>
  <si>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</si>
  <si>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</si>
  <si>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</si>
  <si>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</si>
  <si>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</si>
  <si>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</si>
  <si>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</si>
  <si>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</si>
  <si>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</si>
  <si>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</si>
  <si>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</si>
  <si>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</si>
  <si>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</si>
  <si>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</si>
  <si>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</si>
  <si>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</si>
  <si>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</si>
  <si>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</si>
  <si>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</si>
  <si>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</si>
  <si>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</si>
  <si>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</si>
  <si>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</si>
  <si>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</si>
  <si>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</si>
  <si>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</si>
  <si>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</si>
  <si>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</si>
  <si>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</si>
  <si>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</si>
  <si>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</si>
  <si>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</si>
  <si>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</si>
  <si>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</si>
  <si>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</si>
  <si>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</si>
  <si>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</si>
  <si>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</si>
  <si>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</si>
  <si>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</si>
  <si>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</si>
  <si>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</si>
  <si>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</si>
  <si>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</si>
  <si>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</si>
  <si>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</si>
  <si>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</si>
  <si>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</si>
  <si>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</si>
  <si>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</si>
  <si>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</si>
  <si>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</si>
  <si>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</si>
  <si>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</si>
  <si>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</si>
  <si>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</si>
  <si>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</si>
  <si>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</si>
  <si>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</si>
  <si>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</si>
  <si>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</si>
  <si>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</si>
  <si>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</si>
  <si>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</si>
  <si>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</si>
  <si>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</si>
  <si>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</si>
  <si>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</si>
  <si>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</si>
  <si>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</si>
  <si>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</si>
  <si>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</si>
  <si>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</si>
  <si>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</si>
  <si>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</si>
  <si>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</si>
  <si>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</si>
  <si>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</si>
  <si>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</si>
  <si>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</si>
  <si>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</si>
  <si>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</si>
  <si>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</si>
  <si>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</si>
  <si>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</si>
  <si>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</si>
  <si>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</si>
  <si>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</si>
  <si>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</si>
  <si>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</si>
  <si>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</si>
  <si>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</si>
  <si>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</si>
  <si>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</si>
  <si>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</si>
  <si>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</si>
  <si>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</si>
  <si>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</si>
  <si>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</si>
  <si>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</si>
  <si>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</si>
  <si>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</si>
  <si>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</si>
  <si>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</si>
  <si>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</si>
  <si>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</si>
  <si>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</si>
  <si>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</si>
  <si>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</si>
  <si>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</si>
  <si>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</si>
  <si>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</si>
  <si>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</si>
  <si>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</si>
  <si>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</si>
  <si>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</si>
  <si>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</si>
  <si>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</si>
  <si>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</si>
  <si>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</si>
  <si>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</si>
  <si>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</si>
  <si>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</si>
  <si>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</si>
  <si>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</si>
  <si>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</si>
  <si>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</si>
  <si>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</si>
  <si>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</si>
  <si>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</si>
  <si>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</si>
  <si>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</si>
  <si>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</si>
  <si>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</si>
  <si>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</si>
  <si>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</si>
  <si>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</si>
  <si>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</si>
  <si>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</si>
  <si>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</si>
  <si>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</si>
  <si>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</si>
  <si>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</si>
  <si>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</si>
  <si>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</si>
  <si>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</si>
  <si>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</si>
  <si>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</si>
  <si>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</si>
  <si>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</si>
  <si>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</si>
  <si>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</si>
  <si>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</si>
  <si>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</si>
  <si>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</si>
  <si>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</si>
  <si>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</si>
  <si>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</si>
  <si>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</si>
  <si>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</si>
  <si>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</si>
  <si>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</si>
  <si>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</si>
  <si>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</si>
  <si>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</si>
  <si>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</si>
  <si>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</si>
  <si>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</si>
  <si>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</si>
  <si>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</si>
  <si>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</si>
  <si>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</si>
  <si>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</si>
  <si>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</si>
  <si>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</si>
  <si>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</si>
  <si>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</si>
  <si>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</si>
  <si>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</si>
  <si>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</si>
  <si>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</si>
  <si>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</si>
  <si>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</si>
  <si>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</si>
  <si>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</si>
  <si>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</si>
  <si>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</si>
  <si>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</si>
  <si>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</si>
  <si>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</si>
  <si>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</si>
  <si>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</si>
  <si>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</si>
  <si>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</si>
  <si>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</si>
  <si>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</si>
  <si>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</si>
  <si>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</si>
  <si>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</si>
  <si>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</si>
  <si>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</si>
  <si>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</si>
  <si>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</si>
  <si>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</si>
  <si>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</si>
  <si>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</si>
  <si>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</si>
  <si>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</si>
  <si>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</si>
  <si>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</si>
  <si>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</si>
  <si>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</si>
  <si>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</si>
  <si>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</si>
  <si>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</si>
  <si>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</si>
  <si>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</si>
  <si>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</si>
  <si>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</si>
  <si>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</si>
  <si>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</si>
  <si>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</si>
  <si>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</si>
  <si>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</si>
  <si>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</si>
  <si>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</si>
  <si>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</si>
  <si>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</si>
  <si>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</si>
  <si>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</si>
  <si>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</si>
  <si>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</si>
  <si>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</si>
  <si>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</si>
  <si>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</si>
  <si>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</si>
  <si>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</si>
  <si>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</si>
  <si>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</si>
  <si>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</si>
  <si>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</si>
  <si>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</si>
  <si>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</si>
  <si>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</si>
  <si>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</si>
  <si>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</si>
  <si>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</si>
  <si>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</si>
  <si>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</si>
  <si>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</si>
  <si>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</si>
  <si>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</si>
  <si>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</si>
  <si>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</si>
  <si>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</si>
  <si>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</si>
  <si>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</si>
  <si>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</si>
  <si>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</si>
  <si>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</si>
  <si>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</si>
  <si>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</si>
  <si>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</si>
  <si>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</si>
  <si>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</si>
  <si>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</si>
  <si>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</si>
  <si>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</si>
  <si>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</si>
  <si>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</si>
  <si>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</si>
  <si>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</si>
  <si>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</si>
  <si>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</si>
  <si>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</si>
  <si>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</si>
  <si>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</si>
  <si>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</si>
  <si>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</si>
  <si>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</si>
  <si>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</si>
  <si>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</si>
  <si>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</si>
  <si>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</si>
  <si>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</si>
  <si>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</si>
  <si>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</si>
  <si>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</si>
  <si>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</si>
  <si>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</si>
  <si>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</si>
  <si>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</si>
  <si>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</si>
  <si>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</si>
  <si>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</si>
  <si>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</si>
  <si>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</si>
  <si>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</si>
  <si>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</si>
  <si>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</si>
  <si>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</si>
  <si>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</si>
  <si>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</si>
  <si>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</si>
  <si>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</si>
  <si>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</si>
  <si>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</si>
  <si>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</si>
  <si>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</si>
  <si>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</si>
  <si>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</si>
  <si>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</si>
  <si>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</si>
  <si>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</si>
  <si>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</si>
  <si>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</si>
  <si>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</si>
  <si>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</si>
  <si>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</si>
  <si>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</si>
  <si>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</si>
  <si>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</si>
  <si>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</si>
  <si>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</si>
  <si>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</si>
  <si>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</si>
  <si>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</si>
  <si>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</si>
  <si>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</si>
  <si>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</si>
  <si>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</si>
  <si>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</si>
  <si>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</si>
  <si>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</si>
  <si>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</si>
  <si>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</si>
  <si>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</si>
  <si>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</si>
  <si>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</si>
  <si>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</si>
  <si>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</si>
  <si>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</si>
  <si>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</si>
  <si>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</si>
  <si>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</si>
  <si>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</si>
  <si>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</si>
  <si>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</si>
  <si>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</si>
  <si>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</si>
  <si>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</si>
  <si>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</si>
  <si>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</si>
  <si>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</si>
  <si>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</si>
  <si>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</si>
  <si>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</si>
  <si>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</si>
  <si>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</si>
  <si>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</si>
  <si>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</si>
  <si>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</si>
  <si>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</si>
  <si>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</si>
  <si>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</si>
  <si>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</si>
  <si>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</si>
  <si>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</si>
  <si>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</si>
  <si>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</si>
  <si>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</si>
  <si>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</si>
  <si>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</si>
  <si>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</si>
  <si>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</si>
  <si>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</si>
  <si>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</si>
  <si>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</si>
  <si>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</si>
  <si>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</si>
  <si>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</si>
  <si>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</si>
  <si>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</si>
  <si>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</si>
  <si>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</si>
  <si>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</si>
  <si>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</si>
  <si>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</si>
  <si>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</si>
  <si>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</si>
  <si>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</si>
  <si>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</si>
  <si>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</si>
  <si>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</si>
  <si>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</si>
  <si>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</si>
  <si>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</si>
  <si>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</si>
  <si>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</si>
  <si>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</si>
  <si>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</si>
  <si>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</si>
  <si>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</si>
  <si>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</si>
  <si>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</si>
  <si>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</si>
  <si>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</si>
  <si>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</si>
  <si>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</si>
  <si>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</si>
  <si>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</si>
  <si>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</si>
  <si>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</si>
  <si>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</si>
  <si>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</si>
  <si>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</si>
  <si>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</si>
  <si>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</si>
  <si>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</si>
  <si>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</si>
  <si>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</si>
  <si>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</si>
  <si>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</si>
  <si>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</si>
  <si>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</si>
  <si>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</si>
  <si>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</si>
  <si>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</si>
  <si>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</si>
  <si>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</si>
  <si>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</si>
  <si>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</si>
  <si>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</si>
  <si>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</si>
  <si>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</si>
  <si>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</si>
  <si>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</si>
  <si>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</si>
  <si>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</si>
  <si>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</si>
  <si>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</si>
  <si>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</si>
  <si>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</si>
  <si>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</si>
  <si>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</si>
  <si>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</si>
  <si>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</si>
  <si>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</si>
  <si>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</si>
  <si>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</si>
  <si>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</si>
  <si>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</si>
  <si>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</si>
  <si>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</si>
  <si>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</si>
  <si>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</si>
  <si>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</si>
  <si>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</si>
  <si>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</si>
  <si>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</si>
  <si>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</si>
  <si>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</si>
  <si>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</si>
  <si>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</si>
  <si>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</si>
  <si>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</si>
  <si>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</si>
  <si>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</si>
  <si>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</si>
  <si>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</si>
  <si>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</si>
  <si>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</si>
  <si>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</si>
  <si>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</si>
  <si>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</si>
  <si>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</si>
  <si>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</si>
  <si>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</si>
  <si>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</si>
  <si>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</si>
  <si>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</si>
  <si>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</si>
  <si>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</si>
  <si>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</si>
  <si>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</si>
  <si>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</si>
  <si>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</si>
  <si>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</si>
  <si>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</si>
  <si>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</si>
  <si>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</si>
  <si>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</si>
  <si>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</si>
  <si>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</si>
  <si>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</si>
  <si>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</si>
  <si>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</si>
  <si>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</si>
  <si>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</si>
  <si>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</si>
  <si>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</si>
  <si>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</si>
  <si>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</si>
  <si>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</si>
  <si>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</si>
  <si>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</si>
  <si>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</si>
  <si>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</si>
  <si>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</si>
  <si>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</si>
  <si>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</si>
  <si>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</si>
  <si>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</si>
  <si>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</si>
  <si>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</si>
  <si>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</si>
  <si>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</si>
  <si>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</si>
  <si>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</si>
  <si>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</si>
  <si>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</si>
  <si>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</si>
  <si>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</si>
  <si>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</si>
  <si>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</si>
  <si>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</si>
  <si>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</si>
  <si>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</si>
  <si>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</si>
  <si>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</si>
  <si>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</si>
  <si>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</si>
  <si>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</si>
  <si>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</si>
  <si>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</si>
  <si>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</si>
  <si>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</si>
  <si>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</si>
  <si>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</si>
  <si>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</si>
  <si>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</si>
  <si>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</si>
  <si>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</si>
  <si>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</si>
  <si>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</si>
  <si>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</si>
  <si>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</si>
  <si>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</si>
  <si>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</si>
  <si>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</si>
  <si>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</si>
  <si>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</si>
  <si>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</si>
  <si>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</si>
  <si>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</si>
  <si>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</si>
  <si>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</si>
  <si>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</si>
  <si>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</si>
  <si>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</si>
  <si>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</si>
  <si>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</si>
  <si>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</si>
  <si>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</si>
  <si>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</si>
  <si>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</si>
  <si>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</si>
  <si>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</si>
  <si>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</si>
  <si>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</si>
  <si>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</si>
  <si>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</si>
  <si>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</si>
  <si>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</si>
  <si>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</si>
  <si>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</si>
  <si>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</si>
  <si>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</si>
  <si>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</si>
  <si>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</si>
  <si>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</si>
  <si>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</si>
  <si>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</si>
  <si>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</si>
  <si>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</si>
  <si>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</si>
  <si>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</si>
  <si>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</si>
  <si>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</si>
  <si>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</si>
  <si>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</si>
  <si>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</si>
  <si>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</si>
  <si>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</si>
  <si>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</si>
  <si>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</si>
  <si>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</si>
  <si>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</si>
  <si>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</si>
  <si>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</si>
  <si>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</si>
  <si>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</si>
  <si>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</si>
  <si>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</si>
  <si>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</si>
  <si>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</si>
  <si>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</si>
  <si>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</si>
  <si>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</si>
  <si>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</si>
  <si>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</si>
  <si>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</si>
  <si>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</si>
  <si>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</si>
  <si>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</si>
  <si>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</si>
  <si>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</si>
  <si>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</si>
  <si>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</si>
  <si>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</si>
  <si>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</si>
  <si>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</si>
  <si>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</si>
  <si>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</si>
  <si>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</si>
  <si>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</si>
  <si>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</si>
  <si>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</si>
  <si>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</si>
  <si>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</si>
  <si>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</si>
  <si>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</si>
  <si>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</si>
  <si>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</si>
  <si>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</si>
  <si>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</si>
  <si>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</si>
  <si>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</si>
  <si>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</si>
  <si>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</si>
  <si>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</si>
  <si>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</si>
  <si>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</si>
  <si>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</si>
  <si>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</si>
  <si>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</si>
  <si>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</si>
  <si>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</si>
  <si>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</si>
  <si>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</si>
  <si>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</si>
  <si>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</si>
  <si>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</si>
  <si>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</si>
  <si>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</si>
  <si>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</si>
  <si>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</si>
  <si>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</si>
  <si>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</si>
  <si>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</si>
  <si>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</si>
  <si>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</si>
  <si>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</si>
  <si>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</si>
  <si>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</si>
  <si>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</si>
  <si>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</si>
  <si>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</si>
  <si>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</si>
  <si>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</si>
  <si>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</si>
  <si>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</si>
  <si>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</si>
  <si>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</si>
  <si>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</si>
  <si>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</si>
  <si>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</si>
  <si>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</si>
  <si>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</si>
  <si>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</si>
  <si>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</si>
  <si>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</si>
  <si>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</si>
  <si>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</si>
  <si>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</si>
  <si>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</si>
  <si>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</si>
  <si>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</si>
  <si>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</si>
  <si>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</si>
  <si>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</si>
  <si>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</si>
  <si>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</si>
  <si>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</si>
  <si>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</si>
  <si>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</si>
  <si>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</si>
  <si>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</si>
  <si>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</si>
  <si>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</si>
  <si>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</si>
  <si>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</si>
  <si>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</si>
  <si>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</si>
  <si>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</si>
  <si>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</si>
  <si>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</si>
  <si>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</si>
  <si>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</si>
  <si>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</si>
  <si>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</si>
  <si>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</si>
  <si>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</si>
  <si>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</si>
  <si>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</si>
  <si>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</si>
  <si>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</si>
  <si>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</si>
  <si>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</si>
  <si>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</si>
  <si>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</si>
  <si>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</si>
  <si>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</si>
  <si>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</si>
  <si>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</si>
  <si>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</si>
  <si>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</si>
  <si>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</si>
  <si>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</si>
  <si>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</si>
  <si>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</si>
  <si>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</si>
  <si>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</si>
  <si>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</si>
  <si>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</si>
  <si>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</si>
  <si>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</si>
  <si>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</si>
  <si>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</si>
  <si>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</si>
  <si>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</si>
  <si>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</si>
  <si>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</si>
  <si>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</si>
  <si>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</si>
  <si>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</si>
  <si>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</si>
  <si>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</si>
  <si>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</si>
  <si>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</si>
  <si>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</si>
  <si>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</si>
  <si>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</si>
  <si>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</si>
  <si>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</si>
  <si>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</si>
  <si>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</si>
  <si>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</si>
  <si>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</si>
  <si>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</si>
  <si>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</si>
  <si>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</si>
  <si>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</si>
  <si>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</si>
  <si>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</si>
  <si>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</si>
  <si>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</si>
  <si>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</si>
  <si>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</si>
  <si>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</si>
  <si>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</si>
  <si>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</si>
  <si>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</si>
  <si>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</si>
  <si>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</si>
  <si>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</si>
  <si>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</si>
  <si>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</si>
  <si>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</si>
  <si>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</si>
  <si>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</si>
  <si>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</si>
  <si>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</si>
  <si>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</si>
  <si>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</si>
  <si>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</si>
  <si>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</si>
  <si>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</si>
  <si>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</si>
  <si>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</si>
  <si>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</si>
  <si>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</si>
  <si>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</si>
  <si>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</si>
  <si>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</si>
  <si>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</si>
  <si>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</si>
  <si>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</si>
  <si>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</si>
  <si>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</si>
  <si>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</si>
  <si>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</si>
  <si>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</si>
  <si>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</si>
  <si>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</si>
  <si>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</si>
  <si>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</si>
  <si>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</si>
  <si>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</si>
  <si>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</si>
  <si>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</si>
  <si>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</si>
  <si>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</si>
  <si>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</si>
  <si>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</si>
  <si>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</si>
  <si>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</si>
  <si>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</si>
  <si>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</si>
  <si>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</si>
  <si>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</si>
  <si>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</si>
  <si>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</si>
  <si>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</si>
  <si>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</si>
  <si>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</si>
  <si>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</si>
  <si>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</si>
  <si>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</si>
  <si>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</si>
  <si>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</si>
  <si>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</si>
  <si>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</si>
  <si>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</si>
  <si>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</si>
  <si>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</si>
  <si>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</si>
  <si>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</si>
  <si>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</si>
  <si>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</si>
  <si>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</si>
  <si>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</si>
  <si>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</si>
  <si>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</si>
  <si>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</si>
  <si>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</si>
  <si>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12/31/2019</t>
  </si>
  <si>
    <t>172</t>
  </si>
  <si>
    <t>Public Hospital District #1-A of Whitman County</t>
  </si>
  <si>
    <t xml:space="preserve">  835 SE Bishop Blvd</t>
  </si>
  <si>
    <t>Pullman WA 99163</t>
  </si>
  <si>
    <t>Whitman County</t>
  </si>
  <si>
    <t>Scott K Adams</t>
  </si>
  <si>
    <t>Steven D Febus</t>
  </si>
  <si>
    <t>Jeff Elbracht</t>
  </si>
  <si>
    <t>509-332-2541</t>
  </si>
  <si>
    <t>509-332-4242</t>
  </si>
  <si>
    <t>12/31/2021</t>
  </si>
  <si>
    <t>835 SE Bishop Blvd</t>
  </si>
  <si>
    <t>Whitman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</si>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</sst>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8" fontId="9" fillId="0" borderId="1" xfId="0" applyNumberFormat="1" applyFont="1" applyBorder="1" applyProtection="1">
      <protection locked="0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17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>
            <v>536</v>
          </cell>
          <cell r="D59"/>
          <cell r="E59">
            <v>2782</v>
          </cell>
          <cell r="F59"/>
          <cell r="G59"/>
          <cell r="H59"/>
          <cell r="I59"/>
          <cell r="J59">
            <v>703</v>
          </cell>
          <cell r="K59"/>
          <cell r="L59">
            <v>263</v>
          </cell>
          <cell r="M59"/>
          <cell r="N59"/>
          <cell r="O59">
            <v>353</v>
          </cell>
          <cell r="P59">
            <v>217114</v>
          </cell>
          <cell r="Q59">
            <v>108410</v>
          </cell>
          <cell r="R59">
            <v>159480</v>
          </cell>
          <cell r="U59">
            <v>108264</v>
          </cell>
          <cell r="V59">
            <v>3683</v>
          </cell>
          <cell r="W59">
            <v>2857</v>
          </cell>
          <cell r="X59">
            <v>4639</v>
          </cell>
          <cell r="Y59">
            <v>24402</v>
          </cell>
          <cell r="Z59"/>
          <cell r="AA59">
            <v>937</v>
          </cell>
          <cell r="AC59">
            <v>10970</v>
          </cell>
          <cell r="AD59"/>
          <cell r="AE59">
            <v>38063</v>
          </cell>
          <cell r="AF59"/>
          <cell r="AG59">
            <v>12523</v>
          </cell>
          <cell r="AH59"/>
          <cell r="AI59"/>
          <cell r="AJ59">
            <v>278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17815</v>
          </cell>
          <cell r="AZ59">
            <v>80136</v>
          </cell>
          <cell r="BA59"/>
          <cell r="BE59">
            <v>110387</v>
          </cell>
        </row>
        <row r="71">
          <cell r="C71">
            <v>1515446</v>
          </cell>
          <cell r="D71">
            <v>0</v>
          </cell>
          <cell r="E71">
            <v>4445915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2706186</v>
          </cell>
          <cell r="P71">
            <v>6649457</v>
          </cell>
          <cell r="Q71">
            <v>28227</v>
          </cell>
          <cell r="R71">
            <v>495695</v>
          </cell>
          <cell r="S71">
            <v>4986733</v>
          </cell>
          <cell r="T71">
            <v>0</v>
          </cell>
          <cell r="U71">
            <v>2660066</v>
          </cell>
          <cell r="V71">
            <v>8848</v>
          </cell>
          <cell r="W71">
            <v>577056</v>
          </cell>
          <cell r="X71">
            <v>259700</v>
          </cell>
          <cell r="Y71">
            <v>2766144</v>
          </cell>
          <cell r="Z71">
            <v>0</v>
          </cell>
          <cell r="AA71">
            <v>718459</v>
          </cell>
          <cell r="AB71">
            <v>4463339</v>
          </cell>
          <cell r="AC71">
            <v>1211911</v>
          </cell>
          <cell r="AD71">
            <v>0</v>
          </cell>
          <cell r="AE71">
            <v>4085958</v>
          </cell>
          <cell r="AF71">
            <v>0</v>
          </cell>
          <cell r="AG71">
            <v>5983798</v>
          </cell>
          <cell r="AH71">
            <v>0</v>
          </cell>
          <cell r="AI71">
            <v>0</v>
          </cell>
          <cell r="AJ71">
            <v>90497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261339</v>
          </cell>
          <cell r="AW71">
            <v>0</v>
          </cell>
          <cell r="AX71">
            <v>0</v>
          </cell>
          <cell r="AY71">
            <v>1771706</v>
          </cell>
          <cell r="AZ71">
            <v>-525240</v>
          </cell>
          <cell r="BA71">
            <v>269047</v>
          </cell>
          <cell r="BB71">
            <v>645313</v>
          </cell>
          <cell r="BC71">
            <v>0</v>
          </cell>
          <cell r="BD71">
            <v>646598</v>
          </cell>
          <cell r="BE71">
            <v>1789236</v>
          </cell>
          <cell r="BF71">
            <v>728325</v>
          </cell>
          <cell r="BG71">
            <v>0</v>
          </cell>
          <cell r="BH71">
            <v>1933261</v>
          </cell>
          <cell r="BI71">
            <v>893997</v>
          </cell>
          <cell r="BJ71">
            <v>0</v>
          </cell>
          <cell r="BK71">
            <v>1470795</v>
          </cell>
          <cell r="BL71">
            <v>634021</v>
          </cell>
          <cell r="BM71">
            <v>-37838</v>
          </cell>
          <cell r="BN71">
            <v>1429266</v>
          </cell>
          <cell r="BO71">
            <v>137105</v>
          </cell>
          <cell r="BP71">
            <v>777166</v>
          </cell>
          <cell r="BQ71">
            <v>0</v>
          </cell>
          <cell r="BR71">
            <v>853168</v>
          </cell>
          <cell r="BS71">
            <v>0</v>
          </cell>
          <cell r="BT71">
            <v>0</v>
          </cell>
          <cell r="BU71">
            <v>0</v>
          </cell>
          <cell r="BV71">
            <v>623160</v>
          </cell>
          <cell r="BW71">
            <v>1616532</v>
          </cell>
          <cell r="BX71">
            <v>423908</v>
          </cell>
          <cell r="BY71">
            <v>1163380</v>
          </cell>
          <cell r="BZ71">
            <v>0</v>
          </cell>
          <cell r="CA71">
            <v>0</v>
          </cell>
          <cell r="CB71">
            <v>0</v>
          </cell>
          <cell r="CC71">
            <v>579882</v>
          </cell>
          <cell r="CD71">
            <v>1382940</v>
          </cell>
        </row>
        <row r="82">
          <cell r="C82" t="str">
            <v>12/31/2018</v>
          </cell>
        </row>
        <row r="83">
          <cell r="C83" t="str">
            <v>172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06" transitionEvaluation="1" transitionEntry="1" codeName="Sheet1">
    <pageSetUpPr autoPageBreaks="0" fitToPage="1"/>
  </sheetPr>
  <dimension ref="A1:CF817"/>
  <sheetViews>
    <sheetView showGridLines="0" tabSelected="1" topLeftCell="A206" zoomScale="75" zoomScaleNormal="75" workbookViewId="0">
      <selection activeCell="G234" sqref="G23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1257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1230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293"/>
      <c r="C15" s="234"/>
    </row>
    <row r="16" spans="1:6" ht="12.75" customHeight="1" x14ac:dyDescent="0.35">
      <c r="A16" s="294" t="s">
        <v>1266</v>
      </c>
      <c r="C16" s="234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4"/>
    </row>
    <row r="19" spans="1:6" ht="12.75" customHeight="1" x14ac:dyDescent="0.35">
      <c r="C19" s="234"/>
    </row>
    <row r="20" spans="1:6" ht="12.75" customHeight="1" x14ac:dyDescent="0.35">
      <c r="A20" s="272" t="s">
        <v>1233</v>
      </c>
      <c r="B20" s="272"/>
      <c r="C20" s="288"/>
      <c r="D20" s="272"/>
      <c r="E20" s="272"/>
      <c r="F20" s="272"/>
    </row>
    <row r="21" spans="1:6" ht="22.5" customHeight="1" x14ac:dyDescent="0.35">
      <c r="A21" s="199"/>
      <c r="C21" s="234"/>
    </row>
    <row r="22" spans="1:6" ht="12.65" customHeight="1" x14ac:dyDescent="0.35">
      <c r="A22" s="236" t="s">
        <v>1253</v>
      </c>
      <c r="B22" s="237"/>
      <c r="C22" s="238"/>
      <c r="D22" s="236"/>
      <c r="E22" s="236"/>
    </row>
    <row r="23" spans="1:6" ht="12.65" customHeight="1" x14ac:dyDescent="0.35">
      <c r="B23" s="199"/>
      <c r="C23" s="234"/>
    </row>
    <row r="24" spans="1:6" ht="12.65" customHeight="1" x14ac:dyDescent="0.35">
      <c r="A24" s="239" t="s">
        <v>3</v>
      </c>
      <c r="C24" s="234"/>
    </row>
    <row r="25" spans="1:6" ht="12.65" customHeight="1" x14ac:dyDescent="0.35">
      <c r="A25" s="198" t="s">
        <v>1234</v>
      </c>
      <c r="C25" s="234"/>
    </row>
    <row r="26" spans="1:6" ht="12.65" customHeight="1" x14ac:dyDescent="0.35">
      <c r="A26" s="199" t="s">
        <v>4</v>
      </c>
      <c r="C26" s="234"/>
    </row>
    <row r="27" spans="1:6" ht="12.65" customHeight="1" x14ac:dyDescent="0.35">
      <c r="A27" s="198" t="s">
        <v>1235</v>
      </c>
      <c r="C27" s="234"/>
    </row>
    <row r="28" spans="1:6" ht="12.65" customHeight="1" x14ac:dyDescent="0.35">
      <c r="A28" s="199" t="s">
        <v>5</v>
      </c>
      <c r="C28" s="234"/>
    </row>
    <row r="29" spans="1:6" ht="12.65" customHeight="1" x14ac:dyDescent="0.35">
      <c r="A29" s="198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9" t="s">
        <v>7</v>
      </c>
      <c r="C31" s="234"/>
    </row>
    <row r="32" spans="1:6" ht="12.65" customHeight="1" x14ac:dyDescent="0.35">
      <c r="A32" s="199" t="s">
        <v>8</v>
      </c>
      <c r="C32" s="234"/>
    </row>
    <row r="33" spans="1:83" ht="12.65" customHeight="1" x14ac:dyDescent="0.35">
      <c r="A33" s="198" t="s">
        <v>1236</v>
      </c>
      <c r="C33" s="234"/>
    </row>
    <row r="34" spans="1:83" ht="12.65" customHeight="1" x14ac:dyDescent="0.35">
      <c r="A34" s="199" t="s">
        <v>9</v>
      </c>
      <c r="C34" s="234"/>
    </row>
    <row r="35" spans="1:83" ht="12.65" customHeight="1" x14ac:dyDescent="0.35">
      <c r="A35" s="199"/>
      <c r="C35" s="234"/>
    </row>
    <row r="36" spans="1:83" ht="12.65" customHeight="1" x14ac:dyDescent="0.35">
      <c r="A36" s="198" t="s">
        <v>1237</v>
      </c>
      <c r="C36" s="234"/>
    </row>
    <row r="37" spans="1:83" ht="12.65" customHeight="1" x14ac:dyDescent="0.35">
      <c r="A37" s="199" t="s">
        <v>1229</v>
      </c>
      <c r="C37" s="234"/>
    </row>
    <row r="38" spans="1:83" ht="12" customHeight="1" x14ac:dyDescent="0.35">
      <c r="A38" s="198"/>
      <c r="C38" s="234"/>
    </row>
    <row r="39" spans="1:83" ht="12.65" customHeight="1" x14ac:dyDescent="0.35">
      <c r="A39" s="199"/>
      <c r="C39" s="234"/>
    </row>
    <row r="40" spans="1:83" ht="12" customHeight="1" x14ac:dyDescent="0.35">
      <c r="A40" s="199"/>
      <c r="C40" s="234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4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7580580</v>
      </c>
      <c r="C48" s="244">
        <f>ROUND(((B48/CE61)*C61),0)</f>
        <v>291012</v>
      </c>
      <c r="D48" s="244">
        <f>ROUND(((B48/CE61)*D61),0)</f>
        <v>0</v>
      </c>
      <c r="E48" s="195">
        <f>ROUND(((B48/CE61)*E61),0)</f>
        <v>744183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451868</v>
      </c>
      <c r="P48" s="195">
        <f>ROUND(((B48/CE61)*P61),0)</f>
        <v>949026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235035</v>
      </c>
      <c r="V48" s="195">
        <f>ROUND(((B48/CE61)*V61),0)</f>
        <v>0</v>
      </c>
      <c r="W48" s="195">
        <f>ROUND(((B48/CE61)*W61),0)</f>
        <v>73890</v>
      </c>
      <c r="X48" s="195">
        <f>ROUND(((B48/CE61)*X61),0)</f>
        <v>15283</v>
      </c>
      <c r="Y48" s="195">
        <f>ROUND(((B48/CE61)*Y61),0)</f>
        <v>410327</v>
      </c>
      <c r="Z48" s="195">
        <f>ROUND(((B48/CE61)*Z61),0)</f>
        <v>0</v>
      </c>
      <c r="AA48" s="195">
        <f>ROUND(((B48/CE61)*AA61),0)</f>
        <v>54204</v>
      </c>
      <c r="AB48" s="195">
        <f>ROUND(((B48/CE61)*AB61),0)</f>
        <v>169445</v>
      </c>
      <c r="AC48" s="195">
        <f>ROUND(((B48/CE61)*AC61),0)</f>
        <v>193284</v>
      </c>
      <c r="AD48" s="195">
        <f>ROUND(((B48/CE61)*AD61),0)</f>
        <v>0</v>
      </c>
      <c r="AE48" s="195">
        <f>ROUND(((B48/CE61)*AE61),0)</f>
        <v>726553</v>
      </c>
      <c r="AF48" s="195">
        <f>ROUND(((B48/CE61)*AF61),0)</f>
        <v>0</v>
      </c>
      <c r="AG48" s="195">
        <f>ROUND(((B48/CE61)*AG61),0)</f>
        <v>1115362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15138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40669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196801</v>
      </c>
      <c r="AZ48" s="195">
        <f>ROUND(((B48/CE61)*AZ61),0)</f>
        <v>0</v>
      </c>
      <c r="BA48" s="195">
        <f>ROUND(((B48/CE61)*BA61),0)</f>
        <v>8868</v>
      </c>
      <c r="BB48" s="195">
        <f>ROUND(((B48/CE61)*BB61),0)</f>
        <v>117052</v>
      </c>
      <c r="BC48" s="195">
        <f>ROUND(((B48/CE61)*BC61),0)</f>
        <v>0</v>
      </c>
      <c r="BD48" s="195">
        <f>ROUND(((B48/CE61)*BD61),0)</f>
        <v>102190</v>
      </c>
      <c r="BE48" s="195">
        <f>ROUND(((B48/CE61)*BE61),0)</f>
        <v>120489</v>
      </c>
      <c r="BF48" s="195">
        <f>ROUND(((B48/CE61)*BF61),0)</f>
        <v>134971</v>
      </c>
      <c r="BG48" s="195">
        <f>ROUND(((B48/CE61)*BG61),0)</f>
        <v>0</v>
      </c>
      <c r="BH48" s="195">
        <f>ROUND(((B48/CE61)*BH61),0)</f>
        <v>139777</v>
      </c>
      <c r="BI48" s="195">
        <f>ROUND(((B48/CE61)*BI61),0)</f>
        <v>110214</v>
      </c>
      <c r="BJ48" s="195">
        <f>ROUND(((B48/CE61)*BJ61),0)</f>
        <v>0</v>
      </c>
      <c r="BK48" s="195">
        <f>ROUND(((B48/CE61)*BK61),0)</f>
        <v>163235</v>
      </c>
      <c r="BL48" s="195">
        <f>ROUND(((B48/CE61)*BL61),0)</f>
        <v>108621</v>
      </c>
      <c r="BM48" s="195">
        <f>ROUND(((B48/CE61)*BM61),0)</f>
        <v>76687</v>
      </c>
      <c r="BN48" s="195">
        <f>ROUND(((B48/CE61)*BN61),0)</f>
        <v>151774</v>
      </c>
      <c r="BO48" s="195">
        <f>ROUND(((B48/CE61)*BO61),0)</f>
        <v>19291</v>
      </c>
      <c r="BP48" s="195">
        <f>ROUND(((B48/CE61)*BP61),0)</f>
        <v>63832</v>
      </c>
      <c r="BQ48" s="195">
        <f>ROUND(((B48/CE61)*BQ61),0)</f>
        <v>0</v>
      </c>
      <c r="BR48" s="195">
        <f>ROUND(((B48/CE61)*BR61),0)</f>
        <v>123454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58547</v>
      </c>
      <c r="BW48" s="195">
        <f>ROUND(((B48/CE61)*BW61),0)</f>
        <v>141938</v>
      </c>
      <c r="BX48" s="195">
        <f>ROUND(((B48/CE61)*BX61),0)</f>
        <v>50388</v>
      </c>
      <c r="BY48" s="195">
        <f>ROUND(((B48/CE61)*BY61),0)</f>
        <v>207170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7580578</v>
      </c>
    </row>
    <row r="49" spans="1:84" ht="12.65" customHeight="1" x14ac:dyDescent="0.35">
      <c r="A49" s="175" t="s">
        <v>206</v>
      </c>
      <c r="B49" s="195">
        <f>B47+B48</f>
        <v>7580580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2786234</v>
      </c>
      <c r="C52" s="195">
        <f>ROUND((B52/(CE76+CF76)*C76),0)</f>
        <v>41752</v>
      </c>
      <c r="D52" s="195">
        <f>ROUND((B52/(CE76+CF76)*D76),0)</f>
        <v>0</v>
      </c>
      <c r="E52" s="195">
        <f>ROUND((B52/(CE76+CF76)*E76),0)</f>
        <v>224797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191655</v>
      </c>
      <c r="P52" s="195">
        <f>ROUND((B52/(CE76+CF76)*P76),0)</f>
        <v>372919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33304</v>
      </c>
      <c r="T52" s="195">
        <f>ROUND((B52/(CE76+CF76)*T76),0)</f>
        <v>0</v>
      </c>
      <c r="U52" s="195">
        <f>ROUND((B52/(CE76+CF76)*U76),0)</f>
        <v>45362</v>
      </c>
      <c r="V52" s="195">
        <f>ROUND((B52/(CE76+CF76)*V76),0)</f>
        <v>7151</v>
      </c>
      <c r="W52" s="195">
        <f>ROUND((B52/(CE76+CF76)*W76),0)</f>
        <v>11665</v>
      </c>
      <c r="X52" s="195">
        <f>ROUND((B52/(CE76+CF76)*X76),0)</f>
        <v>12081</v>
      </c>
      <c r="Y52" s="195">
        <f>ROUND((B52/(CE76+CF76)*Y76),0)</f>
        <v>104935</v>
      </c>
      <c r="Z52" s="195">
        <f>ROUND((B52/(CE76+CF76)*Z76),0)</f>
        <v>0</v>
      </c>
      <c r="AA52" s="195">
        <f>ROUND((B52/(CE76+CF76)*AA76),0)</f>
        <v>7059</v>
      </c>
      <c r="AB52" s="195">
        <f>ROUND((B52/(CE76+CF76)*AB76),0)</f>
        <v>18145</v>
      </c>
      <c r="AC52" s="195">
        <f>ROUND((B52/(CE76+CF76)*AC76),0)</f>
        <v>28629</v>
      </c>
      <c r="AD52" s="195">
        <f>ROUND((B52/(CE76+CF76)*AD76),0)</f>
        <v>0</v>
      </c>
      <c r="AE52" s="195">
        <f>ROUND((B52/(CE76+CF76)*AE76),0)</f>
        <v>202186</v>
      </c>
      <c r="AF52" s="195">
        <f>ROUND((B52/(CE76+CF76)*AF76),0)</f>
        <v>0</v>
      </c>
      <c r="AG52" s="195">
        <f>ROUND((B52/(CE76+CF76)*AG76),0)</f>
        <v>148422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23144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110304</v>
      </c>
      <c r="AZ52" s="195">
        <f>ROUND((B52/(CE76+CF76)*AZ76),0)</f>
        <v>0</v>
      </c>
      <c r="BA52" s="195">
        <f>ROUND((B52/(CE76+CF76)*BA76),0)</f>
        <v>29948</v>
      </c>
      <c r="BB52" s="195">
        <f>ROUND((B52/(CE76+CF76)*BB76),0)</f>
        <v>3472</v>
      </c>
      <c r="BC52" s="195">
        <f>ROUND((B52/(CE76+CF76)*BC76),0)</f>
        <v>0</v>
      </c>
      <c r="BD52" s="195">
        <f>ROUND((B52/(CE76+CF76)*BD76),0)</f>
        <v>65243</v>
      </c>
      <c r="BE52" s="195">
        <f>ROUND((B52/(CE76+CF76)*BE76),0)</f>
        <v>304366</v>
      </c>
      <c r="BF52" s="195">
        <f>ROUND((B52/(CE76+CF76)*BF76),0)</f>
        <v>8679</v>
      </c>
      <c r="BG52" s="195">
        <f>ROUND((B52/(CE76+CF76)*BG76),0)</f>
        <v>0</v>
      </c>
      <c r="BH52" s="195">
        <f>ROUND((B52/(CE76+CF76)*BH76),0)</f>
        <v>43210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20043</v>
      </c>
      <c r="BM52" s="195">
        <f>ROUND((B52/(CE76+CF76)*BM76),0)</f>
        <v>6365</v>
      </c>
      <c r="BN52" s="195">
        <f>ROUND((B52/(CE76+CF76)*BN76),0)</f>
        <v>82508</v>
      </c>
      <c r="BO52" s="195">
        <f>ROUND((B52/(CE76+CF76)*BO76),0)</f>
        <v>0</v>
      </c>
      <c r="BP52" s="195">
        <f>ROUND((B52/(CE76+CF76)*BP76),0)</f>
        <v>6365</v>
      </c>
      <c r="BQ52" s="195">
        <f>ROUND((B52/(CE76+CF76)*BQ76),0)</f>
        <v>0</v>
      </c>
      <c r="BR52" s="195">
        <f>ROUND((B52/(CE76+CF76)*BR76),0)</f>
        <v>6365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31314</v>
      </c>
      <c r="BW52" s="195">
        <f>ROUND((B52/(CE76+CF76)*BW76),0)</f>
        <v>3472</v>
      </c>
      <c r="BX52" s="195">
        <f>ROUND((B52/(CE76+CF76)*BX76),0)</f>
        <v>3472</v>
      </c>
      <c r="BY52" s="195">
        <f>ROUND((B52/(CE76+CF76)*BY76),0)</f>
        <v>3472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584432</v>
      </c>
      <c r="CD52" s="195"/>
      <c r="CE52" s="195">
        <f>SUM(C52:CD52)</f>
        <v>2786236</v>
      </c>
    </row>
    <row r="53" spans="1:84" ht="12.65" customHeight="1" x14ac:dyDescent="0.35">
      <c r="A53" s="175" t="s">
        <v>206</v>
      </c>
      <c r="B53" s="195">
        <f>B51+B52</f>
        <v>2786234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>
        <v>683</v>
      </c>
      <c r="D59" s="184"/>
      <c r="E59" s="184">
        <f>1444+845+97+5</f>
        <v>2391</v>
      </c>
      <c r="F59" s="184"/>
      <c r="G59" s="184"/>
      <c r="H59" s="184"/>
      <c r="I59" s="184"/>
      <c r="J59" s="184">
        <v>652</v>
      </c>
      <c r="K59" s="184"/>
      <c r="L59" s="184">
        <v>165</v>
      </c>
      <c r="M59" s="184"/>
      <c r="N59" s="184"/>
      <c r="O59" s="184">
        <v>354</v>
      </c>
      <c r="P59" s="185">
        <v>216756</v>
      </c>
      <c r="Q59" s="185">
        <v>99278</v>
      </c>
      <c r="R59" s="185">
        <f>2774*60</f>
        <v>166440</v>
      </c>
      <c r="S59" s="247"/>
      <c r="T59" s="247"/>
      <c r="U59" s="224">
        <v>110012</v>
      </c>
      <c r="V59" s="185">
        <v>3412</v>
      </c>
      <c r="W59" s="185">
        <v>2536</v>
      </c>
      <c r="X59" s="185">
        <v>4578</v>
      </c>
      <c r="Y59" s="185">
        <f>2702+5512+14358</f>
        <v>22572</v>
      </c>
      <c r="Z59" s="185"/>
      <c r="AA59" s="185">
        <v>863</v>
      </c>
      <c r="AB59" s="247"/>
      <c r="AC59" s="185">
        <f>12659+433+694</f>
        <v>13786</v>
      </c>
      <c r="AD59" s="185"/>
      <c r="AE59" s="185">
        <f>13231+11508+3691</f>
        <v>28430</v>
      </c>
      <c r="AF59" s="185"/>
      <c r="AG59" s="185">
        <v>11108</v>
      </c>
      <c r="AH59" s="185"/>
      <c r="AI59" s="185"/>
      <c r="AJ59" s="185">
        <v>354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20824.39</v>
      </c>
      <c r="AZ59" s="185">
        <f>12530.17+43461.02</f>
        <v>55991.189999999995</v>
      </c>
      <c r="BA59" s="247"/>
      <c r="BB59" s="247"/>
      <c r="BC59" s="247"/>
      <c r="BD59" s="247"/>
      <c r="BE59" s="185">
        <v>120387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186">
        <v>13.07</v>
      </c>
      <c r="D60" s="187"/>
      <c r="E60" s="187">
        <f>5.93+20.59</f>
        <v>26.52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19.649999999999999</v>
      </c>
      <c r="P60" s="221">
        <f>22.17+22.33</f>
        <v>44.5</v>
      </c>
      <c r="Q60" s="221"/>
      <c r="R60" s="221"/>
      <c r="S60" s="221"/>
      <c r="T60" s="221"/>
      <c r="U60" s="221">
        <v>15.27</v>
      </c>
      <c r="V60" s="221"/>
      <c r="W60" s="221">
        <v>2.94</v>
      </c>
      <c r="X60" s="221">
        <v>0.84</v>
      </c>
      <c r="Y60" s="221">
        <f>13.7+1.81+5.23</f>
        <v>20.740000000000002</v>
      </c>
      <c r="Z60" s="221"/>
      <c r="AA60" s="221">
        <v>2</v>
      </c>
      <c r="AB60" s="221">
        <v>5.99</v>
      </c>
      <c r="AC60" s="221">
        <f>7.86+0.97+1.65</f>
        <v>10.48</v>
      </c>
      <c r="AD60" s="221"/>
      <c r="AE60" s="221">
        <f>30.17+4.07+3.49+0.95</f>
        <v>38.680000000000007</v>
      </c>
      <c r="AF60" s="221"/>
      <c r="AG60" s="221">
        <f>21.07+0.5+8.07</f>
        <v>29.64</v>
      </c>
      <c r="AH60" s="221"/>
      <c r="AI60" s="221"/>
      <c r="AJ60" s="221">
        <v>0.66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</v>
      </c>
      <c r="AW60" s="221"/>
      <c r="AX60" s="221"/>
      <c r="AY60" s="221">
        <f>15.12+3.14</f>
        <v>18.259999999999998</v>
      </c>
      <c r="AZ60" s="221"/>
      <c r="BA60" s="221">
        <v>0.81</v>
      </c>
      <c r="BB60" s="221">
        <f>1.58+4.56</f>
        <v>6.14</v>
      </c>
      <c r="BC60" s="221"/>
      <c r="BD60" s="221">
        <f>6.07</f>
        <v>6.07</v>
      </c>
      <c r="BE60" s="221">
        <v>6.63</v>
      </c>
      <c r="BF60" s="221">
        <v>12.66</v>
      </c>
      <c r="BG60" s="221"/>
      <c r="BH60" s="221">
        <f>5.43+2.58</f>
        <v>8.01</v>
      </c>
      <c r="BI60" s="221">
        <v>4.54</v>
      </c>
      <c r="BJ60" s="221"/>
      <c r="BK60" s="221">
        <f>9.72+3.33</f>
        <v>13.05</v>
      </c>
      <c r="BL60" s="221">
        <v>9.01</v>
      </c>
      <c r="BM60" s="221">
        <v>4.0999999999999996</v>
      </c>
      <c r="BN60" s="221">
        <f>3.97+0.5</f>
        <v>4.4700000000000006</v>
      </c>
      <c r="BO60" s="221">
        <v>1.1599999999999999</v>
      </c>
      <c r="BP60" s="221">
        <v>2.95</v>
      </c>
      <c r="BQ60" s="221"/>
      <c r="BR60" s="221">
        <f>4.72+1.51</f>
        <v>6.2299999999999995</v>
      </c>
      <c r="BS60" s="221"/>
      <c r="BT60" s="221"/>
      <c r="BU60" s="221"/>
      <c r="BV60" s="221">
        <v>3.38</v>
      </c>
      <c r="BW60" s="221">
        <f>1.58+1.83</f>
        <v>3.41</v>
      </c>
      <c r="BX60" s="221">
        <f>2.42+0.33</f>
        <v>2.75</v>
      </c>
      <c r="BY60" s="221">
        <v>5.19</v>
      </c>
      <c r="BZ60" s="221"/>
      <c r="CA60" s="221"/>
      <c r="CB60" s="221"/>
      <c r="CC60" s="221"/>
      <c r="CD60" s="248" t="s">
        <v>221</v>
      </c>
      <c r="CE60" s="250">
        <f t="shared" ref="CE60:CE70" si="0">SUM(C60:CD60)</f>
        <v>351.80000000000013</v>
      </c>
    </row>
    <row r="61" spans="1:84" ht="12.65" customHeight="1" x14ac:dyDescent="0.35">
      <c r="A61" s="171" t="s">
        <v>235</v>
      </c>
      <c r="B61" s="175"/>
      <c r="C61" s="184">
        <v>1209996</v>
      </c>
      <c r="D61" s="184"/>
      <c r="E61" s="184">
        <f>1340834+1753399-3</f>
        <v>3094230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1878816</v>
      </c>
      <c r="P61" s="185">
        <f>1875893+2070049</f>
        <v>3945942</v>
      </c>
      <c r="Q61" s="185"/>
      <c r="R61" s="185"/>
      <c r="S61" s="185"/>
      <c r="T61" s="185"/>
      <c r="U61" s="185">
        <v>977248</v>
      </c>
      <c r="V61" s="185"/>
      <c r="W61" s="185">
        <v>307226</v>
      </c>
      <c r="X61" s="185">
        <v>63543</v>
      </c>
      <c r="Y61" s="185">
        <f>1041756+507995+156343</f>
        <v>1706094</v>
      </c>
      <c r="Z61" s="185"/>
      <c r="AA61" s="185">
        <v>225375</v>
      </c>
      <c r="AB61" s="185">
        <v>704535</v>
      </c>
      <c r="AC61" s="185">
        <f>640685+79141+83828</f>
        <v>803654</v>
      </c>
      <c r="AD61" s="185"/>
      <c r="AE61" s="185">
        <f>2441059+281710+195076+103083</f>
        <v>3020928</v>
      </c>
      <c r="AF61" s="185"/>
      <c r="AG61" s="185">
        <f>2067303+61445+2508802</f>
        <v>4637550</v>
      </c>
      <c r="AH61" s="185"/>
      <c r="AI61" s="185"/>
      <c r="AJ61" s="185">
        <v>62943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169098</f>
        <v>169098</v>
      </c>
      <c r="AW61" s="185"/>
      <c r="AX61" s="185"/>
      <c r="AY61" s="185">
        <f>602530+215746</f>
        <v>818276</v>
      </c>
      <c r="AZ61" s="185"/>
      <c r="BA61" s="185">
        <v>36874</v>
      </c>
      <c r="BB61" s="185">
        <f>372048+114640</f>
        <v>486688</v>
      </c>
      <c r="BC61" s="185"/>
      <c r="BD61" s="185">
        <v>424896</v>
      </c>
      <c r="BE61" s="185">
        <v>500981</v>
      </c>
      <c r="BF61" s="185">
        <v>561195</v>
      </c>
      <c r="BG61" s="185"/>
      <c r="BH61" s="185">
        <f>372028+209150</f>
        <v>581178</v>
      </c>
      <c r="BI61" s="185">
        <v>458257</v>
      </c>
      <c r="BJ61" s="185"/>
      <c r="BK61" s="185">
        <f>527224+151487</f>
        <v>678711</v>
      </c>
      <c r="BL61" s="185">
        <v>451635</v>
      </c>
      <c r="BM61" s="185">
        <v>318856</v>
      </c>
      <c r="BN61" s="185">
        <v>631058</v>
      </c>
      <c r="BO61" s="185">
        <v>80209</v>
      </c>
      <c r="BP61" s="185">
        <v>265408</v>
      </c>
      <c r="BQ61" s="185"/>
      <c r="BR61" s="185">
        <f>465529+47780</f>
        <v>513309</v>
      </c>
      <c r="BS61" s="185"/>
      <c r="BT61" s="185"/>
      <c r="BU61" s="185"/>
      <c r="BV61" s="185">
        <v>243433</v>
      </c>
      <c r="BW61" s="185">
        <f>74438+515725</f>
        <v>590163</v>
      </c>
      <c r="BX61" s="185">
        <v>209509</v>
      </c>
      <c r="BY61" s="185">
        <v>861389</v>
      </c>
      <c r="BZ61" s="185"/>
      <c r="CA61" s="185"/>
      <c r="CB61" s="185"/>
      <c r="CC61" s="185"/>
      <c r="CD61" s="248" t="s">
        <v>221</v>
      </c>
      <c r="CE61" s="195">
        <f t="shared" si="0"/>
        <v>31519203</v>
      </c>
      <c r="CF61" s="251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291012</v>
      </c>
      <c r="D62" s="195">
        <f t="shared" si="1"/>
        <v>0</v>
      </c>
      <c r="E62" s="195">
        <f t="shared" si="1"/>
        <v>744183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451868</v>
      </c>
      <c r="P62" s="195">
        <f t="shared" si="1"/>
        <v>949026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235035</v>
      </c>
      <c r="V62" s="195">
        <f t="shared" si="1"/>
        <v>0</v>
      </c>
      <c r="W62" s="195">
        <f t="shared" si="1"/>
        <v>73890</v>
      </c>
      <c r="X62" s="195">
        <f t="shared" si="1"/>
        <v>15283</v>
      </c>
      <c r="Y62" s="195">
        <f t="shared" si="1"/>
        <v>410327</v>
      </c>
      <c r="Z62" s="195">
        <f t="shared" si="1"/>
        <v>0</v>
      </c>
      <c r="AA62" s="195">
        <f t="shared" si="1"/>
        <v>54204</v>
      </c>
      <c r="AB62" s="195">
        <f t="shared" si="1"/>
        <v>169445</v>
      </c>
      <c r="AC62" s="195">
        <f t="shared" si="1"/>
        <v>193284</v>
      </c>
      <c r="AD62" s="195">
        <f t="shared" si="1"/>
        <v>0</v>
      </c>
      <c r="AE62" s="195">
        <f t="shared" si="1"/>
        <v>726553</v>
      </c>
      <c r="AF62" s="195">
        <f t="shared" si="1"/>
        <v>0</v>
      </c>
      <c r="AG62" s="195">
        <f t="shared" si="1"/>
        <v>1115362</v>
      </c>
      <c r="AH62" s="195">
        <f t="shared" si="1"/>
        <v>0</v>
      </c>
      <c r="AI62" s="195">
        <f t="shared" si="1"/>
        <v>0</v>
      </c>
      <c r="AJ62" s="195">
        <f t="shared" si="1"/>
        <v>15138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40669</v>
      </c>
      <c r="AW62" s="195">
        <f t="shared" si="1"/>
        <v>0</v>
      </c>
      <c r="AX62" s="195">
        <f t="shared" si="1"/>
        <v>0</v>
      </c>
      <c r="AY62" s="195">
        <f>ROUND(AY47+AY48,0)</f>
        <v>196801</v>
      </c>
      <c r="AZ62" s="195">
        <f>ROUND(AZ47+AZ48,0)</f>
        <v>0</v>
      </c>
      <c r="BA62" s="195">
        <f>ROUND(BA47+BA48,0)</f>
        <v>8868</v>
      </c>
      <c r="BB62" s="195">
        <f t="shared" si="1"/>
        <v>117052</v>
      </c>
      <c r="BC62" s="195">
        <f t="shared" si="1"/>
        <v>0</v>
      </c>
      <c r="BD62" s="195">
        <f t="shared" si="1"/>
        <v>102190</v>
      </c>
      <c r="BE62" s="195">
        <f t="shared" si="1"/>
        <v>120489</v>
      </c>
      <c r="BF62" s="195">
        <f t="shared" si="1"/>
        <v>134971</v>
      </c>
      <c r="BG62" s="195">
        <f t="shared" si="1"/>
        <v>0</v>
      </c>
      <c r="BH62" s="195">
        <f t="shared" si="1"/>
        <v>139777</v>
      </c>
      <c r="BI62" s="195">
        <f t="shared" si="1"/>
        <v>110214</v>
      </c>
      <c r="BJ62" s="195">
        <f t="shared" si="1"/>
        <v>0</v>
      </c>
      <c r="BK62" s="195">
        <f t="shared" si="1"/>
        <v>163235</v>
      </c>
      <c r="BL62" s="195">
        <f t="shared" si="1"/>
        <v>108621</v>
      </c>
      <c r="BM62" s="195">
        <f t="shared" si="1"/>
        <v>76687</v>
      </c>
      <c r="BN62" s="195">
        <f t="shared" si="1"/>
        <v>151774</v>
      </c>
      <c r="BO62" s="195">
        <f t="shared" ref="BO62:CC62" si="2">ROUND(BO47+BO48,0)</f>
        <v>19291</v>
      </c>
      <c r="BP62" s="195">
        <f t="shared" si="2"/>
        <v>63832</v>
      </c>
      <c r="BQ62" s="195">
        <f t="shared" si="2"/>
        <v>0</v>
      </c>
      <c r="BR62" s="195">
        <f t="shared" si="2"/>
        <v>123454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58547</v>
      </c>
      <c r="BW62" s="195">
        <f t="shared" si="2"/>
        <v>141938</v>
      </c>
      <c r="BX62" s="195">
        <f t="shared" si="2"/>
        <v>50388</v>
      </c>
      <c r="BY62" s="195">
        <f t="shared" si="2"/>
        <v>207170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7580578</v>
      </c>
      <c r="CF62" s="251"/>
    </row>
    <row r="63" spans="1:84" ht="12.65" customHeight="1" x14ac:dyDescent="0.35">
      <c r="A63" s="171" t="s">
        <v>236</v>
      </c>
      <c r="B63" s="175"/>
      <c r="C63" s="184">
        <v>0</v>
      </c>
      <c r="D63" s="184"/>
      <c r="E63" s="184">
        <f>43501+60938</f>
        <v>104439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2866</v>
      </c>
      <c r="P63" s="185">
        <v>3355</v>
      </c>
      <c r="Q63" s="185"/>
      <c r="R63" s="185">
        <v>506322</v>
      </c>
      <c r="S63" s="185">
        <v>1168</v>
      </c>
      <c r="T63" s="185"/>
      <c r="U63" s="185">
        <v>697718</v>
      </c>
      <c r="V63" s="185"/>
      <c r="W63" s="185">
        <v>5256</v>
      </c>
      <c r="X63" s="185"/>
      <c r="Y63" s="185">
        <f>245628+360</f>
        <v>245988</v>
      </c>
      <c r="Z63" s="185"/>
      <c r="AA63" s="185">
        <v>222333</v>
      </c>
      <c r="AB63" s="185">
        <f>70486+41750</f>
        <v>112236</v>
      </c>
      <c r="AC63" s="185">
        <f>13320+37978</f>
        <v>51298</v>
      </c>
      <c r="AD63" s="185"/>
      <c r="AE63" s="185">
        <v>14417</v>
      </c>
      <c r="AF63" s="185"/>
      <c r="AG63" s="185">
        <v>38185</v>
      </c>
      <c r="AH63" s="185"/>
      <c r="AI63" s="185"/>
      <c r="AJ63" s="185">
        <v>864</v>
      </c>
      <c r="AK63" s="185"/>
      <c r="AL63" s="185"/>
      <c r="AM63" s="185"/>
      <c r="AN63" s="185"/>
      <c r="AO63" s="185"/>
      <c r="AP63" s="185">
        <v>772294</v>
      </c>
      <c r="AQ63" s="185"/>
      <c r="AR63" s="185"/>
      <c r="AS63" s="185"/>
      <c r="AT63" s="185"/>
      <c r="AU63" s="185"/>
      <c r="AV63" s="185">
        <v>23765</v>
      </c>
      <c r="AW63" s="185"/>
      <c r="AX63" s="185"/>
      <c r="AY63" s="185">
        <v>780</v>
      </c>
      <c r="AZ63" s="185"/>
      <c r="BA63" s="185"/>
      <c r="BB63" s="185">
        <v>15654</v>
      </c>
      <c r="BC63" s="185"/>
      <c r="BD63" s="185"/>
      <c r="BE63" s="185">
        <v>59392</v>
      </c>
      <c r="BF63" s="185"/>
      <c r="BG63" s="185"/>
      <c r="BH63" s="185"/>
      <c r="BI63" s="185">
        <v>50294</v>
      </c>
      <c r="BJ63" s="185"/>
      <c r="BK63" s="185">
        <f>97673+132413</f>
        <v>230086</v>
      </c>
      <c r="BL63" s="185"/>
      <c r="BM63" s="185">
        <v>75320</v>
      </c>
      <c r="BN63" s="185">
        <f>135708+29781</f>
        <v>165489</v>
      </c>
      <c r="BO63" s="185"/>
      <c r="BP63" s="185">
        <v>395886</v>
      </c>
      <c r="BQ63" s="185"/>
      <c r="BR63" s="185">
        <v>71623</v>
      </c>
      <c r="BS63" s="185"/>
      <c r="BT63" s="185"/>
      <c r="BU63" s="185"/>
      <c r="BV63" s="185">
        <v>204095</v>
      </c>
      <c r="BW63" s="185">
        <f>1192555+600</f>
        <v>1193155</v>
      </c>
      <c r="BX63" s="185">
        <v>75267</v>
      </c>
      <c r="BY63" s="185">
        <v>3563</v>
      </c>
      <c r="BZ63" s="185"/>
      <c r="CA63" s="185"/>
      <c r="CB63" s="185"/>
      <c r="CC63" s="185"/>
      <c r="CD63" s="248" t="s">
        <v>221</v>
      </c>
      <c r="CE63" s="195">
        <f t="shared" si="0"/>
        <v>5343108</v>
      </c>
      <c r="CF63" s="251"/>
    </row>
    <row r="64" spans="1:84" ht="12.65" customHeight="1" x14ac:dyDescent="0.35">
      <c r="A64" s="171" t="s">
        <v>237</v>
      </c>
      <c r="B64" s="175"/>
      <c r="C64" s="184">
        <v>58401</v>
      </c>
      <c r="D64" s="184"/>
      <c r="E64" s="185">
        <f>378+79704</f>
        <v>80082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104249</v>
      </c>
      <c r="P64" s="185">
        <f>1225146+157402</f>
        <v>1382548</v>
      </c>
      <c r="Q64" s="185">
        <v>24351</v>
      </c>
      <c r="R64" s="185">
        <v>115379</v>
      </c>
      <c r="S64" s="185">
        <f>4365152+9102-10</f>
        <v>4374244</v>
      </c>
      <c r="T64" s="185"/>
      <c r="U64" s="185">
        <f>539187+77690</f>
        <v>616877</v>
      </c>
      <c r="V64" s="185"/>
      <c r="W64" s="185">
        <v>10039</v>
      </c>
      <c r="X64" s="185">
        <v>19797</v>
      </c>
      <c r="Y64" s="185">
        <f>157912+1833+150</f>
        <v>159895</v>
      </c>
      <c r="Z64" s="185"/>
      <c r="AA64" s="185">
        <v>238917</v>
      </c>
      <c r="AB64" s="185">
        <f>3284420+5176</f>
        <v>3289596</v>
      </c>
      <c r="AC64" s="185">
        <f>39228+1345+4</f>
        <v>40577</v>
      </c>
      <c r="AD64" s="185"/>
      <c r="AE64" s="185">
        <f>59545+294+879+3446</f>
        <v>64164</v>
      </c>
      <c r="AF64" s="185"/>
      <c r="AG64" s="185">
        <f>128696+26+31</f>
        <v>128753</v>
      </c>
      <c r="AH64" s="185"/>
      <c r="AI64" s="185"/>
      <c r="AJ64" s="185"/>
      <c r="AK64" s="185"/>
      <c r="AL64" s="185"/>
      <c r="AM64" s="185"/>
      <c r="AN64" s="185"/>
      <c r="AO64" s="185"/>
      <c r="AP64" s="185">
        <v>157874</v>
      </c>
      <c r="AQ64" s="185"/>
      <c r="AR64" s="185"/>
      <c r="AS64" s="185"/>
      <c r="AT64" s="185"/>
      <c r="AU64" s="185"/>
      <c r="AV64" s="185">
        <f>505+243+3493</f>
        <v>4241</v>
      </c>
      <c r="AW64" s="185"/>
      <c r="AX64" s="185"/>
      <c r="AY64" s="185">
        <f>456126+3862</f>
        <v>459988</v>
      </c>
      <c r="AZ64" s="185"/>
      <c r="BA64" s="185"/>
      <c r="BB64" s="185">
        <v>341</v>
      </c>
      <c r="BC64" s="185"/>
      <c r="BD64" s="185">
        <v>12673</v>
      </c>
      <c r="BE64" s="185">
        <v>8906</v>
      </c>
      <c r="BF64" s="185">
        <v>44450</v>
      </c>
      <c r="BG64" s="185"/>
      <c r="BH64" s="185">
        <f>4310+1217</f>
        <v>5527</v>
      </c>
      <c r="BI64" s="185">
        <v>3145</v>
      </c>
      <c r="BJ64" s="185"/>
      <c r="BK64" s="185">
        <f>25675+128</f>
        <v>25803</v>
      </c>
      <c r="BL64" s="185">
        <v>9196</v>
      </c>
      <c r="BM64" s="185">
        <v>5066</v>
      </c>
      <c r="BN64" s="185">
        <v>8161</v>
      </c>
      <c r="BO64" s="185">
        <v>43</v>
      </c>
      <c r="BP64" s="185">
        <v>5470</v>
      </c>
      <c r="BQ64" s="185"/>
      <c r="BR64" s="185">
        <v>6049</v>
      </c>
      <c r="BS64" s="185"/>
      <c r="BT64" s="185"/>
      <c r="BU64" s="185"/>
      <c r="BV64" s="185">
        <v>3220</v>
      </c>
      <c r="BW64" s="185">
        <f>2076+0</f>
        <v>2076</v>
      </c>
      <c r="BX64" s="185">
        <v>160</v>
      </c>
      <c r="BY64" s="185">
        <v>1184</v>
      </c>
      <c r="BZ64" s="185"/>
      <c r="CA64" s="185"/>
      <c r="CB64" s="185"/>
      <c r="CC64" s="185"/>
      <c r="CD64" s="248" t="s">
        <v>221</v>
      </c>
      <c r="CE64" s="195">
        <f t="shared" si="0"/>
        <v>11471442</v>
      </c>
      <c r="CF64" s="251"/>
    </row>
    <row r="65" spans="1:84" ht="12.65" customHeight="1" x14ac:dyDescent="0.35">
      <c r="A65" s="171" t="s">
        <v>238</v>
      </c>
      <c r="B65" s="175"/>
      <c r="C65" s="184">
        <v>480</v>
      </c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480</v>
      </c>
      <c r="P65" s="185">
        <f>960+960</f>
        <v>1920</v>
      </c>
      <c r="Q65" s="185"/>
      <c r="R65" s="185"/>
      <c r="S65" s="185"/>
      <c r="T65" s="185"/>
      <c r="U65" s="185">
        <v>960</v>
      </c>
      <c r="V65" s="185"/>
      <c r="W65" s="185"/>
      <c r="X65" s="185"/>
      <c r="Y65" s="185">
        <v>960</v>
      </c>
      <c r="Z65" s="185"/>
      <c r="AA65" s="185"/>
      <c r="AB65" s="185">
        <f>24778-1</f>
        <v>24777</v>
      </c>
      <c r="AC65" s="185">
        <v>400</v>
      </c>
      <c r="AD65" s="185"/>
      <c r="AE65" s="185">
        <v>30898</v>
      </c>
      <c r="AF65" s="185"/>
      <c r="AG65" s="185">
        <f>480+480</f>
        <v>960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f>2840+480</f>
        <v>3320</v>
      </c>
      <c r="BC65" s="185"/>
      <c r="BD65" s="185">
        <v>907</v>
      </c>
      <c r="BE65" s="185">
        <v>480840</v>
      </c>
      <c r="BF65" s="185">
        <v>53134</v>
      </c>
      <c r="BG65" s="185"/>
      <c r="BH65" s="185">
        <f>137700+480</f>
        <v>138180</v>
      </c>
      <c r="BI65" s="185">
        <v>3758</v>
      </c>
      <c r="BJ65" s="185"/>
      <c r="BK65" s="185">
        <v>3206</v>
      </c>
      <c r="BL65" s="185">
        <v>480</v>
      </c>
      <c r="BM65" s="185"/>
      <c r="BN65" s="185">
        <v>880</v>
      </c>
      <c r="BO65" s="185"/>
      <c r="BP65" s="185">
        <v>480</v>
      </c>
      <c r="BQ65" s="185"/>
      <c r="BR65" s="185"/>
      <c r="BS65" s="185"/>
      <c r="BT65" s="185"/>
      <c r="BU65" s="185"/>
      <c r="BV65" s="185"/>
      <c r="BW65" s="185">
        <f>480+480</f>
        <v>960</v>
      </c>
      <c r="BX65" s="185">
        <v>480</v>
      </c>
      <c r="BY65" s="185">
        <v>1115</v>
      </c>
      <c r="BZ65" s="185"/>
      <c r="CA65" s="185"/>
      <c r="CB65" s="185"/>
      <c r="CC65" s="185"/>
      <c r="CD65" s="248" t="s">
        <v>221</v>
      </c>
      <c r="CE65" s="195">
        <f t="shared" si="0"/>
        <v>749575</v>
      </c>
      <c r="CF65" s="251"/>
    </row>
    <row r="66" spans="1:84" ht="12.65" customHeight="1" x14ac:dyDescent="0.35">
      <c r="A66" s="171" t="s">
        <v>239</v>
      </c>
      <c r="B66" s="175"/>
      <c r="C66" s="184">
        <v>38465</v>
      </c>
      <c r="D66" s="184"/>
      <c r="E66" s="184">
        <f>15394+11203</f>
        <v>26597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70309</v>
      </c>
      <c r="P66" s="185">
        <f>376584+46049</f>
        <v>422633</v>
      </c>
      <c r="Q66" s="185">
        <v>499</v>
      </c>
      <c r="R66" s="185">
        <v>283</v>
      </c>
      <c r="S66" s="184"/>
      <c r="T66" s="184"/>
      <c r="U66" s="185">
        <v>80404</v>
      </c>
      <c r="V66" s="185"/>
      <c r="W66" s="185">
        <f>158786-4</f>
        <v>158782</v>
      </c>
      <c r="X66" s="185">
        <v>158195</v>
      </c>
      <c r="Y66" s="185">
        <f>223161+51819+6757</f>
        <v>281737</v>
      </c>
      <c r="Z66" s="185"/>
      <c r="AA66" s="185">
        <v>125371</v>
      </c>
      <c r="AB66" s="185">
        <f>15987+10349</f>
        <v>26336</v>
      </c>
      <c r="AC66" s="185">
        <v>9137</v>
      </c>
      <c r="AD66" s="185"/>
      <c r="AE66" s="185">
        <v>75773</v>
      </c>
      <c r="AF66" s="185"/>
      <c r="AG66" s="185">
        <f>20149+2423</f>
        <v>22572</v>
      </c>
      <c r="AH66" s="185"/>
      <c r="AI66" s="185"/>
      <c r="AJ66" s="185"/>
      <c r="AK66" s="185"/>
      <c r="AL66" s="185"/>
      <c r="AM66" s="185"/>
      <c r="AN66" s="185"/>
      <c r="AO66" s="185"/>
      <c r="AP66" s="185">
        <v>8625</v>
      </c>
      <c r="AQ66" s="185"/>
      <c r="AR66" s="185"/>
      <c r="AS66" s="185"/>
      <c r="AT66" s="185"/>
      <c r="AU66" s="185"/>
      <c r="AV66" s="185">
        <v>554</v>
      </c>
      <c r="AW66" s="185"/>
      <c r="AX66" s="185"/>
      <c r="AY66" s="185">
        <f>12240+794</f>
        <v>13034</v>
      </c>
      <c r="AZ66" s="185"/>
      <c r="BA66" s="185">
        <v>183019</v>
      </c>
      <c r="BB66" s="185">
        <v>13780</v>
      </c>
      <c r="BC66" s="185"/>
      <c r="BD66" s="185">
        <v>1447</v>
      </c>
      <c r="BE66" s="185">
        <v>145462</v>
      </c>
      <c r="BF66" s="185">
        <v>2039</v>
      </c>
      <c r="BG66" s="185"/>
      <c r="BH66" s="185">
        <f>150484+849095</f>
        <v>999579</v>
      </c>
      <c r="BI66" s="185">
        <v>28338</v>
      </c>
      <c r="BJ66" s="185"/>
      <c r="BK66" s="185">
        <f>232985+70400</f>
        <v>303385</v>
      </c>
      <c r="BL66" s="185">
        <v>704</v>
      </c>
      <c r="BM66" s="185">
        <v>24458</v>
      </c>
      <c r="BN66" s="185">
        <v>105627</v>
      </c>
      <c r="BO66" s="185"/>
      <c r="BP66" s="185">
        <v>43922</v>
      </c>
      <c r="BQ66" s="185"/>
      <c r="BR66" s="185">
        <f>70229+6000</f>
        <v>76229</v>
      </c>
      <c r="BS66" s="185"/>
      <c r="BT66" s="185"/>
      <c r="BU66" s="185"/>
      <c r="BV66" s="185">
        <v>41381</v>
      </c>
      <c r="BW66" s="185">
        <f>27817</f>
        <v>27817</v>
      </c>
      <c r="BX66" s="185">
        <v>43840</v>
      </c>
      <c r="BY66" s="185"/>
      <c r="BZ66" s="185"/>
      <c r="CA66" s="185"/>
      <c r="CB66" s="185"/>
      <c r="CC66" s="185"/>
      <c r="CD66" s="248" t="s">
        <v>221</v>
      </c>
      <c r="CE66" s="195">
        <f t="shared" si="0"/>
        <v>3560333</v>
      </c>
      <c r="CF66" s="251"/>
    </row>
    <row r="67" spans="1:84" ht="12.65" customHeight="1" x14ac:dyDescent="0.35">
      <c r="A67" s="171" t="s">
        <v>6</v>
      </c>
      <c r="B67" s="175"/>
      <c r="C67" s="195">
        <f>ROUND(C51+C52,0)</f>
        <v>41752</v>
      </c>
      <c r="D67" s="195">
        <f>ROUND(D51+D52,0)</f>
        <v>0</v>
      </c>
      <c r="E67" s="195">
        <f t="shared" ref="E67:BP67" si="3">ROUND(E51+E52,0)</f>
        <v>224797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191655</v>
      </c>
      <c r="P67" s="195">
        <f t="shared" si="3"/>
        <v>372919</v>
      </c>
      <c r="Q67" s="195">
        <f t="shared" si="3"/>
        <v>0</v>
      </c>
      <c r="R67" s="195">
        <f t="shared" si="3"/>
        <v>0</v>
      </c>
      <c r="S67" s="195">
        <f t="shared" si="3"/>
        <v>33304</v>
      </c>
      <c r="T67" s="195">
        <f t="shared" si="3"/>
        <v>0</v>
      </c>
      <c r="U67" s="195">
        <f t="shared" si="3"/>
        <v>45362</v>
      </c>
      <c r="V67" s="195">
        <f t="shared" si="3"/>
        <v>7151</v>
      </c>
      <c r="W67" s="195">
        <f t="shared" si="3"/>
        <v>11665</v>
      </c>
      <c r="X67" s="195">
        <f t="shared" si="3"/>
        <v>12081</v>
      </c>
      <c r="Y67" s="195">
        <f t="shared" si="3"/>
        <v>104935</v>
      </c>
      <c r="Z67" s="195">
        <f t="shared" si="3"/>
        <v>0</v>
      </c>
      <c r="AA67" s="195">
        <f t="shared" si="3"/>
        <v>7059</v>
      </c>
      <c r="AB67" s="195">
        <f t="shared" si="3"/>
        <v>18145</v>
      </c>
      <c r="AC67" s="195">
        <f t="shared" si="3"/>
        <v>28629</v>
      </c>
      <c r="AD67" s="195">
        <f t="shared" si="3"/>
        <v>0</v>
      </c>
      <c r="AE67" s="195">
        <f t="shared" si="3"/>
        <v>202186</v>
      </c>
      <c r="AF67" s="195">
        <f t="shared" si="3"/>
        <v>0</v>
      </c>
      <c r="AG67" s="195">
        <f t="shared" si="3"/>
        <v>148422</v>
      </c>
      <c r="AH67" s="195">
        <f t="shared" si="3"/>
        <v>0</v>
      </c>
      <c r="AI67" s="195">
        <f t="shared" si="3"/>
        <v>0</v>
      </c>
      <c r="AJ67" s="195">
        <f t="shared" si="3"/>
        <v>23144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110304</v>
      </c>
      <c r="AZ67" s="195">
        <f>ROUND(AZ51+AZ52,0)</f>
        <v>0</v>
      </c>
      <c r="BA67" s="195">
        <f>ROUND(BA51+BA52,0)</f>
        <v>29948</v>
      </c>
      <c r="BB67" s="195">
        <f t="shared" si="3"/>
        <v>3472</v>
      </c>
      <c r="BC67" s="195">
        <f t="shared" si="3"/>
        <v>0</v>
      </c>
      <c r="BD67" s="195">
        <f t="shared" si="3"/>
        <v>65243</v>
      </c>
      <c r="BE67" s="195">
        <f t="shared" si="3"/>
        <v>304366</v>
      </c>
      <c r="BF67" s="195">
        <f t="shared" si="3"/>
        <v>8679</v>
      </c>
      <c r="BG67" s="195">
        <f t="shared" si="3"/>
        <v>0</v>
      </c>
      <c r="BH67" s="195">
        <f t="shared" si="3"/>
        <v>43210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20043</v>
      </c>
      <c r="BM67" s="195">
        <f t="shared" si="3"/>
        <v>6365</v>
      </c>
      <c r="BN67" s="195">
        <f t="shared" si="3"/>
        <v>82508</v>
      </c>
      <c r="BO67" s="195">
        <f t="shared" si="3"/>
        <v>0</v>
      </c>
      <c r="BP67" s="195">
        <f t="shared" si="3"/>
        <v>6365</v>
      </c>
      <c r="BQ67" s="195">
        <f t="shared" ref="BQ67:CC67" si="4">ROUND(BQ51+BQ52,0)</f>
        <v>0</v>
      </c>
      <c r="BR67" s="195">
        <f t="shared" si="4"/>
        <v>6365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31314</v>
      </c>
      <c r="BW67" s="195">
        <f t="shared" si="4"/>
        <v>3472</v>
      </c>
      <c r="BX67" s="195">
        <f t="shared" si="4"/>
        <v>3472</v>
      </c>
      <c r="BY67" s="195">
        <f t="shared" si="4"/>
        <v>3472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584432</v>
      </c>
      <c r="CD67" s="248" t="s">
        <v>221</v>
      </c>
      <c r="CE67" s="195">
        <f t="shared" si="0"/>
        <v>2786236</v>
      </c>
      <c r="CF67" s="251"/>
    </row>
    <row r="68" spans="1:84" ht="12.65" customHeight="1" x14ac:dyDescent="0.35">
      <c r="A68" s="171" t="s">
        <v>240</v>
      </c>
      <c r="B68" s="175"/>
      <c r="C68" s="184">
        <v>12620</v>
      </c>
      <c r="D68" s="184"/>
      <c r="E68" s="184">
        <v>62012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26509</v>
      </c>
      <c r="P68" s="185">
        <f>33206+41517</f>
        <v>74723</v>
      </c>
      <c r="Q68" s="185"/>
      <c r="R68" s="185"/>
      <c r="S68" s="185">
        <v>65608</v>
      </c>
      <c r="T68" s="185"/>
      <c r="U68" s="185"/>
      <c r="V68" s="185"/>
      <c r="W68" s="185"/>
      <c r="X68" s="185"/>
      <c r="Y68" s="185">
        <v>31009</v>
      </c>
      <c r="Z68" s="185"/>
      <c r="AA68" s="185"/>
      <c r="AB68" s="185">
        <v>130114</v>
      </c>
      <c r="AC68" s="185">
        <v>466</v>
      </c>
      <c r="AD68" s="185"/>
      <c r="AE68" s="185">
        <v>21870</v>
      </c>
      <c r="AF68" s="185"/>
      <c r="AG68" s="185">
        <v>28076</v>
      </c>
      <c r="AH68" s="185"/>
      <c r="AI68" s="185"/>
      <c r="AJ68" s="185"/>
      <c r="AK68" s="185"/>
      <c r="AL68" s="185"/>
      <c r="AM68" s="185"/>
      <c r="AN68" s="185"/>
      <c r="AO68" s="185"/>
      <c r="AP68" s="185">
        <v>8000</v>
      </c>
      <c r="AQ68" s="185"/>
      <c r="AR68" s="185"/>
      <c r="AS68" s="185"/>
      <c r="AT68" s="185"/>
      <c r="AU68" s="185"/>
      <c r="AV68" s="185"/>
      <c r="AW68" s="185"/>
      <c r="AX68" s="185"/>
      <c r="AY68" s="185">
        <v>3234</v>
      </c>
      <c r="AZ68" s="185"/>
      <c r="BA68" s="185"/>
      <c r="BB68" s="185">
        <v>2083</v>
      </c>
      <c r="BC68" s="185"/>
      <c r="BD68" s="185">
        <v>6739</v>
      </c>
      <c r="BE68" s="185">
        <v>9191</v>
      </c>
      <c r="BF68" s="185">
        <v>103</v>
      </c>
      <c r="BG68" s="185"/>
      <c r="BH68" s="185">
        <v>678</v>
      </c>
      <c r="BI68" s="185">
        <v>42606</v>
      </c>
      <c r="BJ68" s="185"/>
      <c r="BK68" s="185">
        <v>54923</v>
      </c>
      <c r="BL68" s="185">
        <v>3532</v>
      </c>
      <c r="BM68" s="185"/>
      <c r="BN68" s="185">
        <v>9940</v>
      </c>
      <c r="BO68" s="185"/>
      <c r="BP68" s="185"/>
      <c r="BQ68" s="185"/>
      <c r="BR68" s="185"/>
      <c r="BS68" s="185"/>
      <c r="BT68" s="185"/>
      <c r="BU68" s="185"/>
      <c r="BV68" s="185">
        <v>8943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602979</v>
      </c>
      <c r="CF68" s="251"/>
    </row>
    <row r="69" spans="1:84" ht="12.65" customHeight="1" x14ac:dyDescent="0.35">
      <c r="A69" s="171" t="s">
        <v>241</v>
      </c>
      <c r="B69" s="175"/>
      <c r="C69" s="184">
        <v>1485</v>
      </c>
      <c r="D69" s="184"/>
      <c r="E69" s="185">
        <f>809+4887</f>
        <v>5696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9530</v>
      </c>
      <c r="P69" s="185">
        <f>13672+1405</f>
        <v>15077</v>
      </c>
      <c r="Q69" s="185"/>
      <c r="R69" s="224">
        <v>12</v>
      </c>
      <c r="S69" s="185">
        <v>89926</v>
      </c>
      <c r="T69" s="184"/>
      <c r="U69" s="185">
        <v>7734</v>
      </c>
      <c r="V69" s="185"/>
      <c r="W69" s="184">
        <v>240</v>
      </c>
      <c r="X69" s="185"/>
      <c r="Y69" s="185">
        <f>5217+180</f>
        <v>5397</v>
      </c>
      <c r="Z69" s="185"/>
      <c r="AA69" s="185">
        <v>10730</v>
      </c>
      <c r="AB69" s="185">
        <f>2477+5734</f>
        <v>8211</v>
      </c>
      <c r="AC69" s="185">
        <v>1829</v>
      </c>
      <c r="AD69" s="185"/>
      <c r="AE69" s="185">
        <f>34084+5216+599</f>
        <v>39899</v>
      </c>
      <c r="AF69" s="185"/>
      <c r="AG69" s="185">
        <f>2227+975+58756+22707-3</f>
        <v>84662</v>
      </c>
      <c r="AH69" s="185"/>
      <c r="AI69" s="185"/>
      <c r="AJ69" s="185">
        <v>370</v>
      </c>
      <c r="AK69" s="185"/>
      <c r="AL69" s="185"/>
      <c r="AM69" s="185"/>
      <c r="AN69" s="185"/>
      <c r="AO69" s="184"/>
      <c r="AP69" s="185">
        <v>1038</v>
      </c>
      <c r="AQ69" s="184"/>
      <c r="AR69" s="184"/>
      <c r="AS69" s="184"/>
      <c r="AT69" s="184"/>
      <c r="AU69" s="185"/>
      <c r="AV69" s="185">
        <f>5830+5481</f>
        <v>11311</v>
      </c>
      <c r="AW69" s="185"/>
      <c r="AX69" s="185"/>
      <c r="AY69" s="185">
        <f>1348+3076</f>
        <v>4424</v>
      </c>
      <c r="AZ69" s="185"/>
      <c r="BA69" s="185"/>
      <c r="BB69" s="185">
        <v>4614</v>
      </c>
      <c r="BC69" s="185"/>
      <c r="BD69" s="185">
        <v>2755</v>
      </c>
      <c r="BE69" s="185">
        <v>625</v>
      </c>
      <c r="BF69" s="185">
        <v>3594</v>
      </c>
      <c r="BG69" s="185"/>
      <c r="BH69" s="224">
        <f>3915+199</f>
        <v>4114</v>
      </c>
      <c r="BI69" s="185">
        <v>134062</v>
      </c>
      <c r="BJ69" s="185"/>
      <c r="BK69" s="185">
        <f>1952+6466</f>
        <v>8418</v>
      </c>
      <c r="BL69" s="185"/>
      <c r="BM69" s="185">
        <v>41055</v>
      </c>
      <c r="BN69" s="185">
        <f>192428+6166</f>
        <v>198594</v>
      </c>
      <c r="BO69" s="185">
        <v>1719</v>
      </c>
      <c r="BP69" s="185">
        <v>18410</v>
      </c>
      <c r="BQ69" s="185"/>
      <c r="BR69" s="185">
        <f>77956+3720</f>
        <v>81676</v>
      </c>
      <c r="BS69" s="185"/>
      <c r="BT69" s="185"/>
      <c r="BU69" s="185"/>
      <c r="BV69" s="185">
        <v>632</v>
      </c>
      <c r="BW69" s="185">
        <f>8097+11308</f>
        <v>19405</v>
      </c>
      <c r="BX69" s="185">
        <v>8304</v>
      </c>
      <c r="BY69" s="185">
        <v>3803</v>
      </c>
      <c r="BZ69" s="185"/>
      <c r="CA69" s="185"/>
      <c r="CB69" s="185"/>
      <c r="CC69" s="185"/>
      <c r="CD69" s="188">
        <v>1525046</v>
      </c>
      <c r="CE69" s="195">
        <f t="shared" si="0"/>
        <v>2354397</v>
      </c>
      <c r="CF69" s="251"/>
    </row>
    <row r="70" spans="1:84" ht="12.65" customHeight="1" x14ac:dyDescent="0.35">
      <c r="A70" s="171" t="s">
        <v>242</v>
      </c>
      <c r="B70" s="175"/>
      <c r="C70" s="184">
        <v>6400</v>
      </c>
      <c r="D70" s="184"/>
      <c r="E70" s="184">
        <v>1452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3675</v>
      </c>
      <c r="P70" s="184">
        <v>6890</v>
      </c>
      <c r="Q70" s="184"/>
      <c r="R70" s="184"/>
      <c r="S70" s="184">
        <v>5745</v>
      </c>
      <c r="T70" s="184"/>
      <c r="U70" s="185">
        <v>30000</v>
      </c>
      <c r="V70" s="184"/>
      <c r="W70" s="184"/>
      <c r="X70" s="185"/>
      <c r="Y70" s="185">
        <v>260</v>
      </c>
      <c r="Z70" s="185"/>
      <c r="AA70" s="185"/>
      <c r="AB70" s="185">
        <f>5363+409</f>
        <v>5772</v>
      </c>
      <c r="AC70" s="185"/>
      <c r="AD70" s="185"/>
      <c r="AE70" s="185">
        <f>12841+11945+2846</f>
        <v>27632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f>365138+9521</f>
        <v>374659</v>
      </c>
      <c r="AW70" s="185"/>
      <c r="AX70" s="185"/>
      <c r="AY70" s="185">
        <f>1370</f>
        <v>1370</v>
      </c>
      <c r="AZ70" s="185">
        <f>361912</f>
        <v>361912</v>
      </c>
      <c r="BA70" s="185"/>
      <c r="BB70" s="185">
        <v>8586</v>
      </c>
      <c r="BC70" s="185"/>
      <c r="BD70" s="185"/>
      <c r="BE70" s="185"/>
      <c r="BF70" s="185"/>
      <c r="BG70" s="185"/>
      <c r="BH70" s="185">
        <v>19994</v>
      </c>
      <c r="BI70" s="185"/>
      <c r="BJ70" s="185"/>
      <c r="BK70" s="185">
        <v>60</v>
      </c>
      <c r="BL70" s="185"/>
      <c r="BM70" s="185"/>
      <c r="BN70" s="185">
        <v>50000</v>
      </c>
      <c r="BO70" s="185"/>
      <c r="BP70" s="185">
        <v>15000</v>
      </c>
      <c r="BQ70" s="185"/>
      <c r="BR70" s="185">
        <v>26475</v>
      </c>
      <c r="BS70" s="185"/>
      <c r="BT70" s="185"/>
      <c r="BU70" s="185"/>
      <c r="BV70" s="185">
        <v>7364</v>
      </c>
      <c r="BW70" s="185">
        <f>9300+237924</f>
        <v>247224</v>
      </c>
      <c r="BX70" s="185"/>
      <c r="BY70" s="185">
        <v>32696</v>
      </c>
      <c r="BZ70" s="185"/>
      <c r="CA70" s="185"/>
      <c r="CB70" s="185"/>
      <c r="CC70" s="185"/>
      <c r="CD70" s="188">
        <f>114162+28828+7023336</f>
        <v>7166326</v>
      </c>
      <c r="CE70" s="195">
        <f t="shared" si="0"/>
        <v>8399492</v>
      </c>
      <c r="CF70" s="251"/>
    </row>
    <row r="71" spans="1:84" ht="12.65" customHeight="1" x14ac:dyDescent="0.35">
      <c r="A71" s="171" t="s">
        <v>243</v>
      </c>
      <c r="B71" s="175"/>
      <c r="C71" s="195">
        <f>SUM(C61:C68)+C69-C70</f>
        <v>1647811</v>
      </c>
      <c r="D71" s="195">
        <f t="shared" ref="D71:AI71" si="5">SUM(D61:D69)-D70</f>
        <v>0</v>
      </c>
      <c r="E71" s="195">
        <f t="shared" si="5"/>
        <v>4340584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2732607</v>
      </c>
      <c r="P71" s="195">
        <f t="shared" si="5"/>
        <v>7161253</v>
      </c>
      <c r="Q71" s="195">
        <f t="shared" si="5"/>
        <v>24850</v>
      </c>
      <c r="R71" s="195">
        <f t="shared" si="5"/>
        <v>621996</v>
      </c>
      <c r="S71" s="195">
        <f t="shared" si="5"/>
        <v>4558505</v>
      </c>
      <c r="T71" s="195">
        <f t="shared" si="5"/>
        <v>0</v>
      </c>
      <c r="U71" s="195">
        <f t="shared" si="5"/>
        <v>2631338</v>
      </c>
      <c r="V71" s="195">
        <f t="shared" si="5"/>
        <v>7151</v>
      </c>
      <c r="W71" s="195">
        <f t="shared" si="5"/>
        <v>567098</v>
      </c>
      <c r="X71" s="195">
        <f t="shared" si="5"/>
        <v>268899</v>
      </c>
      <c r="Y71" s="195">
        <f t="shared" si="5"/>
        <v>2946082</v>
      </c>
      <c r="Z71" s="195">
        <f t="shared" si="5"/>
        <v>0</v>
      </c>
      <c r="AA71" s="195">
        <f t="shared" si="5"/>
        <v>883989</v>
      </c>
      <c r="AB71" s="195">
        <f t="shared" si="5"/>
        <v>4477623</v>
      </c>
      <c r="AC71" s="195">
        <f t="shared" si="5"/>
        <v>1129274</v>
      </c>
      <c r="AD71" s="195">
        <f t="shared" si="5"/>
        <v>0</v>
      </c>
      <c r="AE71" s="195">
        <f t="shared" si="5"/>
        <v>4169056</v>
      </c>
      <c r="AF71" s="195">
        <f t="shared" si="5"/>
        <v>0</v>
      </c>
      <c r="AG71" s="195">
        <f t="shared" si="5"/>
        <v>6204542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102459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947831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-125021</v>
      </c>
      <c r="AW71" s="195">
        <f t="shared" si="6"/>
        <v>0</v>
      </c>
      <c r="AX71" s="195">
        <f t="shared" si="6"/>
        <v>0</v>
      </c>
      <c r="AY71" s="195">
        <f t="shared" si="6"/>
        <v>1605471</v>
      </c>
      <c r="AZ71" s="195">
        <f t="shared" si="6"/>
        <v>-361912</v>
      </c>
      <c r="BA71" s="195">
        <f t="shared" si="6"/>
        <v>258709</v>
      </c>
      <c r="BB71" s="195">
        <f t="shared" si="6"/>
        <v>638418</v>
      </c>
      <c r="BC71" s="195">
        <f t="shared" si="6"/>
        <v>0</v>
      </c>
      <c r="BD71" s="195">
        <f t="shared" si="6"/>
        <v>616850</v>
      </c>
      <c r="BE71" s="195">
        <f t="shared" si="6"/>
        <v>1630252</v>
      </c>
      <c r="BF71" s="195">
        <f t="shared" si="6"/>
        <v>808165</v>
      </c>
      <c r="BG71" s="195">
        <f t="shared" si="6"/>
        <v>0</v>
      </c>
      <c r="BH71" s="195">
        <f t="shared" si="6"/>
        <v>1892249</v>
      </c>
      <c r="BI71" s="195">
        <f t="shared" si="6"/>
        <v>830674</v>
      </c>
      <c r="BJ71" s="195">
        <f t="shared" si="6"/>
        <v>0</v>
      </c>
      <c r="BK71" s="195">
        <f t="shared" si="6"/>
        <v>1467707</v>
      </c>
      <c r="BL71" s="195">
        <f t="shared" si="6"/>
        <v>594211</v>
      </c>
      <c r="BM71" s="195">
        <f t="shared" si="6"/>
        <v>547807</v>
      </c>
      <c r="BN71" s="195">
        <f t="shared" si="6"/>
        <v>1304031</v>
      </c>
      <c r="BO71" s="195">
        <f t="shared" si="6"/>
        <v>101262</v>
      </c>
      <c r="BP71" s="195">
        <f t="shared" ref="BP71:CC71" si="7">SUM(BP61:BP69)-BP70</f>
        <v>784773</v>
      </c>
      <c r="BQ71" s="195">
        <f t="shared" si="7"/>
        <v>0</v>
      </c>
      <c r="BR71" s="195">
        <f t="shared" si="7"/>
        <v>852230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584201</v>
      </c>
      <c r="BW71" s="195">
        <f t="shared" si="7"/>
        <v>1731762</v>
      </c>
      <c r="BX71" s="195">
        <f t="shared" si="7"/>
        <v>391420</v>
      </c>
      <c r="BY71" s="195">
        <f t="shared" si="7"/>
        <v>1049000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584432</v>
      </c>
      <c r="CD71" s="244">
        <f>CD69-CD70</f>
        <v>-5641280</v>
      </c>
      <c r="CE71" s="195">
        <f>SUM(CE61:CE69)-CE70</f>
        <v>57568359</v>
      </c>
      <c r="CF71" s="251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1239883</v>
      </c>
      <c r="CF72" s="251"/>
    </row>
    <row r="73" spans="1:84" ht="12.65" customHeight="1" x14ac:dyDescent="0.35">
      <c r="A73" s="171" t="s">
        <v>245</v>
      </c>
      <c r="B73" s="175"/>
      <c r="C73" s="184">
        <v>1573253</v>
      </c>
      <c r="D73" s="184"/>
      <c r="E73" s="185">
        <f>517148+2311975+162397-3</f>
        <v>2991517</v>
      </c>
      <c r="F73" s="185"/>
      <c r="G73" s="184"/>
      <c r="H73" s="184"/>
      <c r="I73" s="185"/>
      <c r="J73" s="185">
        <v>462516</v>
      </c>
      <c r="K73" s="185"/>
      <c r="L73" s="185">
        <v>207443</v>
      </c>
      <c r="M73" s="184"/>
      <c r="N73" s="184"/>
      <c r="O73" s="184">
        <v>2357986</v>
      </c>
      <c r="P73" s="185">
        <f>4294148+51388</f>
        <v>4345536</v>
      </c>
      <c r="Q73" s="185">
        <v>379818</v>
      </c>
      <c r="R73" s="185">
        <v>1164928</v>
      </c>
      <c r="S73" s="185">
        <f>4774212+1330358</f>
        <v>6104570</v>
      </c>
      <c r="T73" s="185"/>
      <c r="U73" s="185">
        <f>1679929+42772</f>
        <v>1722701</v>
      </c>
      <c r="V73" s="185">
        <v>47389</v>
      </c>
      <c r="W73" s="185">
        <v>41692</v>
      </c>
      <c r="X73" s="185">
        <v>305351</v>
      </c>
      <c r="Y73" s="185">
        <f>436780+140383</f>
        <v>577163</v>
      </c>
      <c r="Z73" s="185"/>
      <c r="AA73" s="185">
        <v>39265</v>
      </c>
      <c r="AB73" s="185">
        <v>3675480</v>
      </c>
      <c r="AC73" s="185">
        <v>1176056</v>
      </c>
      <c r="AD73" s="185"/>
      <c r="AE73" s="185">
        <v>372471</v>
      </c>
      <c r="AF73" s="185"/>
      <c r="AG73" s="185">
        <f>104604+124115</f>
        <v>228719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27773854</v>
      </c>
      <c r="CF73" s="251"/>
    </row>
    <row r="74" spans="1:84" ht="12.65" customHeight="1" x14ac:dyDescent="0.35">
      <c r="A74" s="171" t="s">
        <v>246</v>
      </c>
      <c r="B74" s="175"/>
      <c r="C74" s="184">
        <v>901729</v>
      </c>
      <c r="D74" s="184"/>
      <c r="E74" s="185">
        <f>323485+2343064+280011+39006-2</f>
        <v>2985564</v>
      </c>
      <c r="F74" s="185"/>
      <c r="G74" s="184"/>
      <c r="H74" s="184"/>
      <c r="I74" s="184"/>
      <c r="J74" s="185">
        <v>0</v>
      </c>
      <c r="K74" s="185"/>
      <c r="L74" s="185"/>
      <c r="M74" s="184"/>
      <c r="N74" s="184"/>
      <c r="O74" s="184">
        <v>484371</v>
      </c>
      <c r="P74" s="185">
        <f>10249517+2537487</f>
        <v>12787004</v>
      </c>
      <c r="Q74" s="185">
        <v>1091162</v>
      </c>
      <c r="R74" s="185">
        <v>3039076</v>
      </c>
      <c r="S74" s="185">
        <f>10679131+327365</f>
        <v>11006496</v>
      </c>
      <c r="T74" s="185"/>
      <c r="U74" s="185">
        <f>9644271+90559</f>
        <v>9734830</v>
      </c>
      <c r="V74" s="185">
        <v>473130</v>
      </c>
      <c r="W74" s="185">
        <v>5972038</v>
      </c>
      <c r="X74" s="185">
        <v>8366211</v>
      </c>
      <c r="Y74" s="185">
        <f>5525980+3291967+1076844</f>
        <v>9894791</v>
      </c>
      <c r="Z74" s="185"/>
      <c r="AA74" s="185">
        <v>2719752</v>
      </c>
      <c r="AB74" s="185">
        <v>14271620</v>
      </c>
      <c r="AC74" s="185">
        <f>913827+1096023+187049</f>
        <v>2196899</v>
      </c>
      <c r="AD74" s="185"/>
      <c r="AE74" s="185">
        <f>3672217+229183+289297</f>
        <v>4190697</v>
      </c>
      <c r="AF74" s="185"/>
      <c r="AG74" s="185">
        <f>7213106+9471+4544961</f>
        <v>11767538</v>
      </c>
      <c r="AH74" s="185"/>
      <c r="AI74" s="185"/>
      <c r="AJ74" s="185">
        <v>124301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102007209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2474982</v>
      </c>
      <c r="D75" s="195">
        <f t="shared" si="9"/>
        <v>0</v>
      </c>
      <c r="E75" s="195">
        <f t="shared" si="9"/>
        <v>5977081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462516</v>
      </c>
      <c r="K75" s="195">
        <f t="shared" si="9"/>
        <v>0</v>
      </c>
      <c r="L75" s="195">
        <f t="shared" si="9"/>
        <v>207443</v>
      </c>
      <c r="M75" s="195">
        <f t="shared" si="9"/>
        <v>0</v>
      </c>
      <c r="N75" s="195">
        <f t="shared" si="9"/>
        <v>0</v>
      </c>
      <c r="O75" s="195">
        <f t="shared" si="9"/>
        <v>2842357</v>
      </c>
      <c r="P75" s="195">
        <f t="shared" si="9"/>
        <v>17132540</v>
      </c>
      <c r="Q75" s="195">
        <f t="shared" si="9"/>
        <v>1470980</v>
      </c>
      <c r="R75" s="195">
        <f t="shared" si="9"/>
        <v>4204004</v>
      </c>
      <c r="S75" s="195">
        <f t="shared" si="9"/>
        <v>17111066</v>
      </c>
      <c r="T75" s="195">
        <f t="shared" si="9"/>
        <v>0</v>
      </c>
      <c r="U75" s="195">
        <f t="shared" si="9"/>
        <v>11457531</v>
      </c>
      <c r="V75" s="195">
        <f t="shared" si="9"/>
        <v>520519</v>
      </c>
      <c r="W75" s="195">
        <f t="shared" si="9"/>
        <v>6013730</v>
      </c>
      <c r="X75" s="195">
        <f t="shared" si="9"/>
        <v>8671562</v>
      </c>
      <c r="Y75" s="195">
        <f t="shared" si="9"/>
        <v>10471954</v>
      </c>
      <c r="Z75" s="195">
        <f t="shared" si="9"/>
        <v>0</v>
      </c>
      <c r="AA75" s="195">
        <f t="shared" si="9"/>
        <v>2759017</v>
      </c>
      <c r="AB75" s="195">
        <f t="shared" si="9"/>
        <v>17947100</v>
      </c>
      <c r="AC75" s="195">
        <f t="shared" si="9"/>
        <v>3372955</v>
      </c>
      <c r="AD75" s="195">
        <f t="shared" si="9"/>
        <v>0</v>
      </c>
      <c r="AE75" s="195">
        <f t="shared" si="9"/>
        <v>4563168</v>
      </c>
      <c r="AF75" s="195">
        <f t="shared" si="9"/>
        <v>0</v>
      </c>
      <c r="AG75" s="195">
        <f t="shared" si="9"/>
        <v>11996257</v>
      </c>
      <c r="AH75" s="195">
        <f t="shared" si="9"/>
        <v>0</v>
      </c>
      <c r="AI75" s="195">
        <f t="shared" si="9"/>
        <v>0</v>
      </c>
      <c r="AJ75" s="195">
        <f t="shared" si="9"/>
        <v>124301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129781063</v>
      </c>
      <c r="CF75" s="251"/>
    </row>
    <row r="76" spans="1:84" ht="12.65" customHeight="1" x14ac:dyDescent="0.35">
      <c r="A76" s="171" t="s">
        <v>248</v>
      </c>
      <c r="B76" s="175"/>
      <c r="C76" s="300">
        <v>1804</v>
      </c>
      <c r="D76" s="300"/>
      <c r="E76" s="185">
        <v>9713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>
        <v>8281</v>
      </c>
      <c r="P76" s="185">
        <f>11113+5000</f>
        <v>16113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300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f>20252+5000</f>
        <v>25252</v>
      </c>
      <c r="CD76" s="248" t="s">
        <v>221</v>
      </c>
      <c r="CE76" s="195">
        <f t="shared" si="8"/>
        <v>120387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f>3175+1102.93</f>
        <v>4277.93</v>
      </c>
      <c r="D77" s="184"/>
      <c r="E77" s="184">
        <f>6239+1558.09</f>
        <v>7797.09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3681+872.28</f>
        <v>4553.28</v>
      </c>
      <c r="P77" s="184">
        <f>1080+1394.13</f>
        <v>2474.13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467+1254.95</f>
        <v>1721.95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>
        <f>43461+10536</f>
        <v>53997</v>
      </c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74821.38</v>
      </c>
      <c r="CF77" s="195">
        <f>AY59-CE77</f>
        <v>-53996.990000000005</v>
      </c>
    </row>
    <row r="78" spans="1:84" ht="12.65" customHeight="1" x14ac:dyDescent="0.35">
      <c r="A78" s="171" t="s">
        <v>250</v>
      </c>
      <c r="B78" s="175"/>
      <c r="C78" s="184">
        <v>1317</v>
      </c>
      <c r="D78" s="184"/>
      <c r="E78" s="184">
        <v>3687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2897</v>
      </c>
      <c r="P78" s="184">
        <v>2370</v>
      </c>
      <c r="Q78" s="184"/>
      <c r="R78" s="184"/>
      <c r="S78" s="184"/>
      <c r="T78" s="184"/>
      <c r="U78" s="184">
        <v>1053</v>
      </c>
      <c r="V78" s="184">
        <v>527</v>
      </c>
      <c r="W78" s="184">
        <v>527</v>
      </c>
      <c r="X78" s="184">
        <v>527</v>
      </c>
      <c r="Y78" s="184">
        <v>1317</v>
      </c>
      <c r="Z78" s="184"/>
      <c r="AA78" s="184">
        <v>67</v>
      </c>
      <c r="AB78" s="184">
        <v>171</v>
      </c>
      <c r="AC78" s="184">
        <v>271</v>
      </c>
      <c r="AD78" s="184"/>
      <c r="AE78" s="184">
        <v>2633</v>
      </c>
      <c r="AF78" s="184"/>
      <c r="AG78" s="184">
        <v>2897</v>
      </c>
      <c r="AH78" s="184"/>
      <c r="AI78" s="184"/>
      <c r="AJ78" s="184"/>
      <c r="AK78" s="184"/>
      <c r="AL78" s="184"/>
      <c r="AM78" s="184"/>
      <c r="AN78" s="184"/>
      <c r="AO78" s="184"/>
      <c r="AP78" s="184">
        <v>790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283</v>
      </c>
      <c r="BB78" s="184">
        <v>33</v>
      </c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263</v>
      </c>
      <c r="BI78" s="184"/>
      <c r="BJ78" s="248" t="s">
        <v>221</v>
      </c>
      <c r="BK78" s="184"/>
      <c r="BL78" s="184">
        <v>189</v>
      </c>
      <c r="BM78" s="184">
        <v>60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296</v>
      </c>
      <c r="BW78" s="184">
        <v>33</v>
      </c>
      <c r="BX78" s="184">
        <v>33</v>
      </c>
      <c r="BY78" s="184">
        <v>33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22274</v>
      </c>
      <c r="CF78" s="195"/>
    </row>
    <row r="79" spans="1:84" ht="12.65" customHeight="1" x14ac:dyDescent="0.35">
      <c r="A79" s="171" t="s">
        <v>251</v>
      </c>
      <c r="B79" s="175"/>
      <c r="C79" s="225">
        <v>16658</v>
      </c>
      <c r="D79" s="225"/>
      <c r="E79" s="184">
        <f>49975</f>
        <v>49975</v>
      </c>
      <c r="F79" s="184"/>
      <c r="G79" s="184"/>
      <c r="H79" s="184"/>
      <c r="I79" s="184"/>
      <c r="J79" s="184">
        <v>19435</v>
      </c>
      <c r="K79" s="184"/>
      <c r="L79" s="184"/>
      <c r="M79" s="184"/>
      <c r="N79" s="184"/>
      <c r="O79" s="184">
        <v>38869</v>
      </c>
      <c r="P79" s="184">
        <v>49975</v>
      </c>
      <c r="Q79" s="184"/>
      <c r="R79" s="184"/>
      <c r="S79" s="184"/>
      <c r="T79" s="184"/>
      <c r="U79" s="184">
        <v>8329</v>
      </c>
      <c r="V79" s="184"/>
      <c r="W79" s="184"/>
      <c r="X79" s="184"/>
      <c r="Y79" s="184">
        <v>11106</v>
      </c>
      <c r="Z79" s="184"/>
      <c r="AA79" s="184"/>
      <c r="AB79" s="184"/>
      <c r="AC79" s="184"/>
      <c r="AD79" s="184"/>
      <c r="AE79" s="184">
        <v>54821</v>
      </c>
      <c r="AF79" s="184"/>
      <c r="AG79" s="184">
        <v>49975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>
        <v>1264</v>
      </c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300407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f>19777.5/2080</f>
        <v>9.5084134615384617</v>
      </c>
      <c r="D80" s="187"/>
      <c r="E80" s="187">
        <f>30867/2080</f>
        <v>14.839903846153845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30467.5/2080</f>
        <v>14.647836538461538</v>
      </c>
      <c r="P80" s="187">
        <f>47932.274/2080</f>
        <v>23.044362499999998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29541.584/2080</f>
        <v>14.202684615384614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76.243200961538463</v>
      </c>
      <c r="CF80" s="254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1278</v>
      </c>
      <c r="D82" s="255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1268</v>
      </c>
      <c r="D83" s="255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0" t="s">
        <v>1279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70" t="s">
        <v>1279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1280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69" t="s">
        <v>1276</v>
      </c>
      <c r="D92" s="255"/>
      <c r="E92" s="175"/>
    </row>
    <row r="93" spans="1:5" ht="12.65" customHeight="1" x14ac:dyDescent="0.35">
      <c r="A93" s="173" t="s">
        <v>264</v>
      </c>
      <c r="B93" s="172" t="s">
        <v>256</v>
      </c>
      <c r="C93" s="269" t="s">
        <v>1277</v>
      </c>
      <c r="D93" s="255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6" t="s">
        <v>266</v>
      </c>
      <c r="B96" s="256"/>
      <c r="C96" s="256"/>
      <c r="D96" s="256"/>
      <c r="E96" s="256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6" t="s">
        <v>269</v>
      </c>
      <c r="B100" s="256"/>
      <c r="C100" s="256"/>
      <c r="D100" s="256"/>
      <c r="E100" s="256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6" t="s">
        <v>271</v>
      </c>
      <c r="B103" s="256"/>
      <c r="C103" s="256"/>
      <c r="D103" s="256"/>
      <c r="E103" s="256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f>1410-364-2</f>
        <v>1044</v>
      </c>
      <c r="D111" s="174">
        <f>3239-165</f>
        <v>3074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12</v>
      </c>
      <c r="D112" s="174">
        <v>165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354</v>
      </c>
      <c r="D114" s="174">
        <v>652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8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>
        <v>2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207443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419</v>
      </c>
      <c r="C138" s="189">
        <v>241</v>
      </c>
      <c r="D138" s="174">
        <f>1398-660-354</f>
        <v>384</v>
      </c>
      <c r="E138" s="175">
        <f>SUM(B138:D138)</f>
        <v>1044</v>
      </c>
    </row>
    <row r="139" spans="1:6" ht="12.65" customHeight="1" x14ac:dyDescent="0.35">
      <c r="A139" s="173" t="s">
        <v>215</v>
      </c>
      <c r="B139" s="174">
        <f>1375-165+98</f>
        <v>1308</v>
      </c>
      <c r="C139" s="189">
        <v>612</v>
      </c>
      <c r="D139" s="174">
        <v>1154</v>
      </c>
      <c r="E139" s="175">
        <f>SUM(B139:D139)</f>
        <v>3074</v>
      </c>
    </row>
    <row r="140" spans="1:6" ht="12.65" customHeight="1" x14ac:dyDescent="0.35">
      <c r="A140" s="173" t="s">
        <v>298</v>
      </c>
      <c r="B140" s="174">
        <v>21545</v>
      </c>
      <c r="C140" s="174">
        <v>9572</v>
      </c>
      <c r="D140" s="174">
        <f>75913-31117</f>
        <v>44796</v>
      </c>
      <c r="E140" s="175">
        <f>SUM(B140:D140)</f>
        <v>75913</v>
      </c>
    </row>
    <row r="141" spans="1:6" ht="12.65" customHeight="1" x14ac:dyDescent="0.35">
      <c r="A141" s="173" t="s">
        <v>245</v>
      </c>
      <c r="B141" s="174">
        <f>1381604+12680068-207443</f>
        <v>13854229</v>
      </c>
      <c r="C141" s="189">
        <f>512255+108371+2266355+543688</f>
        <v>3430669</v>
      </c>
      <c r="D141" s="174">
        <f>27773854-17492341</f>
        <v>10281513</v>
      </c>
      <c r="E141" s="175">
        <f>SUM(B141:D141)</f>
        <v>27566411</v>
      </c>
      <c r="F141" s="199"/>
    </row>
    <row r="142" spans="1:6" ht="12.65" customHeight="1" x14ac:dyDescent="0.35">
      <c r="A142" s="173" t="s">
        <v>246</v>
      </c>
      <c r="B142" s="174">
        <f>3281735+29500969</f>
        <v>32782704</v>
      </c>
      <c r="C142" s="189">
        <f>1526467+521366+7701182+2405954</f>
        <v>12154969</v>
      </c>
      <c r="D142" s="174">
        <f>102007209-44937673</f>
        <v>57069536</v>
      </c>
      <c r="E142" s="175">
        <f>SUM(B142:D142)</f>
        <v>102007209</v>
      </c>
      <c r="F142" s="199"/>
    </row>
    <row r="143" spans="1:6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11</v>
      </c>
      <c r="C144" s="189">
        <v>1</v>
      </c>
      <c r="D144" s="174">
        <v>0</v>
      </c>
      <c r="E144" s="175">
        <f>SUM(B144:D144)</f>
        <v>12</v>
      </c>
    </row>
    <row r="145" spans="1:5" ht="12.65" customHeight="1" x14ac:dyDescent="0.35">
      <c r="A145" s="173" t="s">
        <v>215</v>
      </c>
      <c r="B145" s="174">
        <v>164</v>
      </c>
      <c r="C145" s="189">
        <v>1</v>
      </c>
      <c r="D145" s="174">
        <v>0</v>
      </c>
      <c r="E145" s="175">
        <f>SUM(B145:D145)</f>
        <v>165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f>207443-1246</f>
        <v>206197</v>
      </c>
      <c r="C147" s="189">
        <v>1246</v>
      </c>
      <c r="D147" s="174">
        <v>0</v>
      </c>
      <c r="E147" s="175">
        <f>SUM(B147:D147)</f>
        <v>207443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f>840633+4669076+237924</f>
        <v>5747633</v>
      </c>
      <c r="C157" s="174">
        <f>1500041+2731626+1741975</f>
        <v>5973642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6" t="s">
        <v>306</v>
      </c>
      <c r="B164" s="256"/>
      <c r="C164" s="256"/>
      <c r="D164" s="256"/>
      <c r="E164" s="256"/>
    </row>
    <row r="165" spans="1:5" ht="11.5" customHeight="1" x14ac:dyDescent="0.35">
      <c r="A165" s="173" t="s">
        <v>307</v>
      </c>
      <c r="B165" s="172" t="s">
        <v>256</v>
      </c>
      <c r="C165" s="189">
        <v>2148390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82592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146254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3012913+262991+11731+231607+98904</f>
        <v>3618146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12596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967674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76834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f>5502+39981-6594+9720+35945+443540</f>
        <v>528094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7580580</v>
      </c>
      <c r="E173" s="175"/>
    </row>
    <row r="174" spans="1:5" ht="11.5" customHeight="1" x14ac:dyDescent="0.35">
      <c r="A174" s="256" t="s">
        <v>314</v>
      </c>
      <c r="B174" s="256"/>
      <c r="C174" s="256"/>
      <c r="D174" s="256"/>
      <c r="E174" s="256"/>
    </row>
    <row r="175" spans="1:5" ht="11.5" customHeight="1" x14ac:dyDescent="0.35">
      <c r="A175" s="173" t="s">
        <v>315</v>
      </c>
      <c r="B175" s="172" t="s">
        <v>256</v>
      </c>
      <c r="C175" s="189">
        <v>137586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465393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602979</v>
      </c>
      <c r="E177" s="175"/>
    </row>
    <row r="178" spans="1:5" ht="11.5" customHeight="1" x14ac:dyDescent="0.35">
      <c r="A178" s="256" t="s">
        <v>317</v>
      </c>
      <c r="B178" s="256"/>
      <c r="C178" s="256"/>
      <c r="D178" s="256"/>
      <c r="E178" s="256"/>
    </row>
    <row r="179" spans="1:5" ht="11.5" customHeight="1" x14ac:dyDescent="0.35">
      <c r="A179" s="173" t="s">
        <v>318</v>
      </c>
      <c r="B179" s="172" t="s">
        <v>256</v>
      </c>
      <c r="C179" s="189">
        <v>177060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147749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324809</v>
      </c>
      <c r="E181" s="175"/>
    </row>
    <row r="182" spans="1:5" ht="11.5" customHeight="1" x14ac:dyDescent="0.35">
      <c r="A182" s="256" t="s">
        <v>320</v>
      </c>
      <c r="B182" s="256"/>
      <c r="C182" s="256"/>
      <c r="D182" s="256"/>
      <c r="E182" s="256"/>
    </row>
    <row r="183" spans="1:5" ht="11.5" customHeight="1" x14ac:dyDescent="0.35">
      <c r="A183" s="173" t="s">
        <v>321</v>
      </c>
      <c r="B183" s="172" t="s">
        <v>256</v>
      </c>
      <c r="C183" s="189">
        <f>4568</f>
        <v>4568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60179+658713-30780</f>
        <v>688112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692680</v>
      </c>
      <c r="E186" s="175"/>
    </row>
    <row r="187" spans="1:5" ht="11.5" customHeight="1" x14ac:dyDescent="0.35">
      <c r="A187" s="256" t="s">
        <v>323</v>
      </c>
      <c r="B187" s="256"/>
      <c r="C187" s="256"/>
      <c r="D187" s="256"/>
      <c r="E187" s="256"/>
    </row>
    <row r="188" spans="1:5" ht="11.5" customHeight="1" x14ac:dyDescent="0.35">
      <c r="A188" s="173" t="s">
        <v>324</v>
      </c>
      <c r="B188" s="172" t="s">
        <v>256</v>
      </c>
      <c r="C188" s="189">
        <f>507557-959</f>
        <v>506598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959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507557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5" customHeight="1" x14ac:dyDescent="0.35">
      <c r="A196" s="173" t="s">
        <v>333</v>
      </c>
      <c r="B196" s="174">
        <v>3741283</v>
      </c>
      <c r="C196" s="189"/>
      <c r="D196" s="174">
        <f>3635+44175</f>
        <v>47810</v>
      </c>
      <c r="E196" s="175">
        <f t="shared" si="10"/>
        <v>3693473</v>
      </c>
    </row>
    <row r="197" spans="1:8" ht="12.65" customHeight="1" x14ac:dyDescent="0.35">
      <c r="A197" s="173" t="s">
        <v>334</v>
      </c>
      <c r="B197" s="174">
        <v>17930954.82</v>
      </c>
      <c r="C197" s="189">
        <f>607323+488013.55+2</f>
        <v>1095338.55</v>
      </c>
      <c r="D197" s="174">
        <v>523018</v>
      </c>
      <c r="E197" s="175">
        <f t="shared" si="10"/>
        <v>18503275.370000001</v>
      </c>
    </row>
    <row r="198" spans="1:8" ht="12.65" customHeight="1" x14ac:dyDescent="0.35">
      <c r="A198" s="173" t="s">
        <v>335</v>
      </c>
      <c r="B198" s="174">
        <v>15339337.35</v>
      </c>
      <c r="C198" s="189">
        <v>482573</v>
      </c>
      <c r="D198" s="174">
        <v>28382</v>
      </c>
      <c r="E198" s="175">
        <f t="shared" si="10"/>
        <v>15793528.35</v>
      </c>
    </row>
    <row r="199" spans="1:8" ht="12.65" customHeight="1" x14ac:dyDescent="0.35">
      <c r="A199" s="173" t="s">
        <v>336</v>
      </c>
      <c r="B199" s="174">
        <v>1111042.2</v>
      </c>
      <c r="C199" s="189"/>
      <c r="D199" s="174">
        <v>55152</v>
      </c>
      <c r="E199" s="175">
        <f t="shared" si="10"/>
        <v>1055890.2</v>
      </c>
    </row>
    <row r="200" spans="1:8" ht="12.65" customHeight="1" x14ac:dyDescent="0.35">
      <c r="A200" s="173" t="s">
        <v>337</v>
      </c>
      <c r="B200" s="174">
        <v>15714510.579999998</v>
      </c>
      <c r="C200" s="189">
        <f>375452+348141-2</f>
        <v>723591</v>
      </c>
      <c r="D200" s="174">
        <f>364351+235338+185978</f>
        <v>785667</v>
      </c>
      <c r="E200" s="175">
        <f t="shared" si="10"/>
        <v>15652434.579999998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1148208</v>
      </c>
      <c r="C203" s="189">
        <v>434773</v>
      </c>
      <c r="D203" s="174">
        <v>1511833</v>
      </c>
      <c r="E203" s="175">
        <f t="shared" si="10"/>
        <v>71148</v>
      </c>
    </row>
    <row r="204" spans="1:8" ht="12.65" customHeight="1" x14ac:dyDescent="0.35">
      <c r="A204" s="173" t="s">
        <v>203</v>
      </c>
      <c r="B204" s="175">
        <f>SUM(B195:B203)</f>
        <v>56798640.950000003</v>
      </c>
      <c r="C204" s="191">
        <f>SUM(C195:C203)</f>
        <v>2736275.55</v>
      </c>
      <c r="D204" s="175">
        <f>SUM(D195:D203)</f>
        <v>2951862</v>
      </c>
      <c r="E204" s="175">
        <f>SUM(E195:E203)</f>
        <v>56583054.5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5">
      <c r="A209" s="173" t="s">
        <v>333</v>
      </c>
      <c r="B209" s="174">
        <v>1858766.23</v>
      </c>
      <c r="C209" s="189">
        <v>104222</v>
      </c>
      <c r="D209" s="174">
        <v>47810</v>
      </c>
      <c r="E209" s="175">
        <f t="shared" ref="E209:E216" si="11">SUM(B209:C209)-D209</f>
        <v>1915178.23</v>
      </c>
      <c r="H209" s="258"/>
    </row>
    <row r="210" spans="1:8" ht="12.65" customHeight="1" x14ac:dyDescent="0.35">
      <c r="A210" s="173" t="s">
        <v>334</v>
      </c>
      <c r="B210" s="174">
        <v>4697415.040000001</v>
      </c>
      <c r="C210" s="189">
        <v>751965</v>
      </c>
      <c r="D210" s="174">
        <f>523018-67</f>
        <v>522951</v>
      </c>
      <c r="E210" s="175">
        <f t="shared" si="11"/>
        <v>4926429.040000001</v>
      </c>
      <c r="H210" s="258"/>
    </row>
    <row r="211" spans="1:8" ht="12.65" customHeight="1" x14ac:dyDescent="0.35">
      <c r="A211" s="173" t="s">
        <v>335</v>
      </c>
      <c r="B211" s="174">
        <v>11885209.51</v>
      </c>
      <c r="C211" s="189">
        <v>492229</v>
      </c>
      <c r="D211" s="174">
        <v>28384</v>
      </c>
      <c r="E211" s="175">
        <f t="shared" si="11"/>
        <v>12349054.51</v>
      </c>
      <c r="H211" s="258"/>
    </row>
    <row r="212" spans="1:8" ht="12.65" customHeight="1" x14ac:dyDescent="0.35">
      <c r="A212" s="173" t="s">
        <v>336</v>
      </c>
      <c r="B212" s="174">
        <v>965192.74</v>
      </c>
      <c r="C212" s="189">
        <v>14303</v>
      </c>
      <c r="D212" s="174">
        <v>55152</v>
      </c>
      <c r="E212" s="175">
        <f t="shared" si="11"/>
        <v>924343.74</v>
      </c>
      <c r="H212" s="258"/>
    </row>
    <row r="213" spans="1:8" ht="12.65" customHeight="1" x14ac:dyDescent="0.35">
      <c r="A213" s="173" t="s">
        <v>337</v>
      </c>
      <c r="B213" s="174">
        <v>11067202.390000001</v>
      </c>
      <c r="C213" s="174">
        <f>1053390+142489+227636</f>
        <v>1423515</v>
      </c>
      <c r="D213" s="174">
        <f>785667-904</f>
        <v>784763</v>
      </c>
      <c r="E213" s="175">
        <f t="shared" si="11"/>
        <v>11705954.390000001</v>
      </c>
      <c r="H213" s="258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8"/>
    </row>
    <row r="215" spans="1:8" ht="12.65" customHeight="1" x14ac:dyDescent="0.3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8"/>
    </row>
    <row r="216" spans="1:8" ht="12.65" customHeight="1" x14ac:dyDescent="0.35">
      <c r="A216" s="173" t="s">
        <v>340</v>
      </c>
      <c r="B216" s="174">
        <v>0</v>
      </c>
      <c r="C216" s="189" t="s">
        <v>1281</v>
      </c>
      <c r="D216" s="174"/>
      <c r="E216" s="175">
        <f t="shared" si="11"/>
        <v>0</v>
      </c>
      <c r="H216" s="258"/>
    </row>
    <row r="217" spans="1:8" ht="12.65" customHeight="1" x14ac:dyDescent="0.35">
      <c r="A217" s="173" t="s">
        <v>203</v>
      </c>
      <c r="B217" s="175">
        <f>SUM(B208:B216)</f>
        <v>30473785.91</v>
      </c>
      <c r="C217" s="191">
        <f>SUM(C208:C216)</f>
        <v>2786234</v>
      </c>
      <c r="D217" s="175">
        <f>SUM(D208:D216)</f>
        <v>1439060</v>
      </c>
      <c r="E217" s="175">
        <f>SUM(E208:E216)</f>
        <v>31820959.91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1" t="s">
        <v>1254</v>
      </c>
      <c r="B221" s="208"/>
      <c r="C221" s="189">
        <v>2093459</v>
      </c>
      <c r="D221" s="172">
        <f>C221</f>
        <v>2093459</v>
      </c>
      <c r="E221" s="208"/>
    </row>
    <row r="222" spans="1:8" ht="12.65" customHeight="1" x14ac:dyDescent="0.35">
      <c r="A222" s="256" t="s">
        <v>343</v>
      </c>
      <c r="B222" s="256"/>
      <c r="C222" s="256"/>
      <c r="D222" s="256"/>
      <c r="E222" s="256"/>
    </row>
    <row r="223" spans="1:8" ht="12.65" customHeight="1" x14ac:dyDescent="0.35">
      <c r="A223" s="173" t="s">
        <v>344</v>
      </c>
      <c r="B223" s="172" t="s">
        <v>256</v>
      </c>
      <c r="C223" s="189">
        <v>23393383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7143453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758000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569160</f>
        <v>569160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59611524-36071092</f>
        <v>23540432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55404428</v>
      </c>
      <c r="E229" s="175"/>
    </row>
    <row r="230" spans="1:5" ht="12.65" customHeight="1" x14ac:dyDescent="0.35">
      <c r="A230" s="256" t="s">
        <v>351</v>
      </c>
      <c r="B230" s="256"/>
      <c r="C230" s="256"/>
      <c r="D230" s="256"/>
      <c r="E230" s="256"/>
    </row>
    <row r="231" spans="1:5" ht="12.65" customHeight="1" x14ac:dyDescent="0.35">
      <c r="A231" s="171" t="s">
        <v>352</v>
      </c>
      <c r="B231" s="172" t="s">
        <v>256</v>
      </c>
      <c r="C231" s="189">
        <v>529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156137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631933+1888</f>
        <v>633821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789958</v>
      </c>
      <c r="E236" s="175"/>
    </row>
    <row r="237" spans="1:5" ht="12.65" customHeight="1" x14ac:dyDescent="0.35">
      <c r="A237" s="256" t="s">
        <v>356</v>
      </c>
      <c r="B237" s="256"/>
      <c r="C237" s="256"/>
      <c r="D237" s="256"/>
      <c r="E237" s="256"/>
    </row>
    <row r="238" spans="1:5" ht="12.65" customHeight="1" x14ac:dyDescent="0.35">
      <c r="A238" s="173" t="s">
        <v>357</v>
      </c>
      <c r="B238" s="172" t="s">
        <v>256</v>
      </c>
      <c r="C238" s="189">
        <f>850000+324737+1775</f>
        <v>1176512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147167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1323679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59611524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6" t="s">
        <v>361</v>
      </c>
      <c r="B249" s="256"/>
      <c r="C249" s="256"/>
      <c r="D249" s="256"/>
      <c r="E249" s="256"/>
    </row>
    <row r="250" spans="1:5" ht="12.45" customHeight="1" x14ac:dyDescent="0.35">
      <c r="A250" s="173" t="s">
        <v>362</v>
      </c>
      <c r="B250" s="172" t="s">
        <v>256</v>
      </c>
      <c r="C250" s="189">
        <v>10181956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18553644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5349492+5551326</f>
        <v>10900818</v>
      </c>
      <c r="D253" s="175"/>
      <c r="E253" s="175"/>
    </row>
    <row r="254" spans="1:5" ht="12.45" customHeight="1" x14ac:dyDescent="0.35">
      <c r="A254" s="173" t="s">
        <v>1240</v>
      </c>
      <c r="B254" s="172" t="s">
        <v>256</v>
      </c>
      <c r="C254" s="189">
        <v>43584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875749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2082242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965711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21802068</v>
      </c>
      <c r="E260" s="175"/>
    </row>
    <row r="261" spans="1:5" ht="11.25" customHeight="1" x14ac:dyDescent="0.35">
      <c r="A261" s="256" t="s">
        <v>372</v>
      </c>
      <c r="B261" s="256"/>
      <c r="C261" s="256"/>
      <c r="D261" s="256"/>
      <c r="E261" s="256"/>
    </row>
    <row r="262" spans="1:5" ht="12.45" customHeight="1" x14ac:dyDescent="0.35">
      <c r="A262" s="173" t="s">
        <v>362</v>
      </c>
      <c r="B262" s="172" t="s">
        <v>256</v>
      </c>
      <c r="C262" s="189">
        <v>24670769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24670769</v>
      </c>
      <c r="E265" s="175"/>
    </row>
    <row r="266" spans="1:5" ht="11.25" customHeight="1" x14ac:dyDescent="0.35">
      <c r="A266" s="256" t="s">
        <v>375</v>
      </c>
      <c r="B266" s="256"/>
      <c r="C266" s="256"/>
      <c r="D266" s="256"/>
      <c r="E266" s="256"/>
    </row>
    <row r="267" spans="1:5" ht="12.45" customHeight="1" x14ac:dyDescent="0.35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3693473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f>13889860+4613415</f>
        <v>18503275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f>15793528</f>
        <v>15793528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1055891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f>13721506+1930929</f>
        <v>15652435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71148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56583055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31820960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24762095</v>
      </c>
      <c r="E277" s="175"/>
    </row>
    <row r="278" spans="1:5" ht="12.65" customHeight="1" x14ac:dyDescent="0.35">
      <c r="A278" s="256" t="s">
        <v>382</v>
      </c>
      <c r="B278" s="256"/>
      <c r="C278" s="256"/>
      <c r="D278" s="256"/>
      <c r="E278" s="256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536983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-300000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236983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6" t="s">
        <v>387</v>
      </c>
      <c r="B285" s="256"/>
      <c r="C285" s="256"/>
      <c r="D285" s="256"/>
      <c r="E285" s="256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71471915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6" t="s">
        <v>395</v>
      </c>
      <c r="B303" s="256"/>
      <c r="C303" s="256"/>
      <c r="D303" s="256"/>
      <c r="E303" s="256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2302675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3567948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-192000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258676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5937299</v>
      </c>
      <c r="E314" s="175"/>
    </row>
    <row r="315" spans="1:5" ht="12.65" customHeight="1" x14ac:dyDescent="0.35">
      <c r="A315" s="256" t="s">
        <v>406</v>
      </c>
      <c r="B315" s="256"/>
      <c r="C315" s="256"/>
      <c r="D315" s="256"/>
      <c r="E315" s="256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6" t="s">
        <v>411</v>
      </c>
      <c r="B320" s="256"/>
      <c r="C320" s="256"/>
      <c r="D320" s="256"/>
      <c r="E320" s="256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799475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11608141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10079801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22487417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22487417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0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222">
        <v>43047199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71471915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71471915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189">
        <v>27773854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102007209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129781063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1254</v>
      </c>
      <c r="B363" s="256"/>
      <c r="C363" s="189">
        <v>2093459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189">
        <v>55404428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789958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1323679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59611524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70169539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189">
        <v>8399492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1239883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9639375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79808914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189">
        <v>31519203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7580580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5343108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11471442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749575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3560333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2786234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602979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324809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692680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507557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829351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65967851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13841063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-1526273-1239883</f>
        <v>-2766156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11074907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11074907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Public Hospital District #1-A of Whitman County   H-0     FYE 12/31/2021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1044</v>
      </c>
      <c r="C414" s="194">
        <f>E138</f>
        <v>1044</v>
      </c>
      <c r="D414" s="179"/>
    </row>
    <row r="415" spans="1:5" ht="12.65" customHeight="1" x14ac:dyDescent="0.35">
      <c r="A415" s="179" t="s">
        <v>464</v>
      </c>
      <c r="B415" s="179">
        <f>D111</f>
        <v>3074</v>
      </c>
      <c r="C415" s="179">
        <f>E139</f>
        <v>3074</v>
      </c>
      <c r="D415" s="194">
        <f>SUM(C59:H59)+N59</f>
        <v>3074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12</v>
      </c>
      <c r="C417" s="194">
        <f>E144</f>
        <v>12</v>
      </c>
      <c r="D417" s="179"/>
    </row>
    <row r="418" spans="1:7" ht="12.65" customHeight="1" x14ac:dyDescent="0.35">
      <c r="A418" s="179" t="s">
        <v>466</v>
      </c>
      <c r="B418" s="179">
        <f>D112</f>
        <v>165</v>
      </c>
      <c r="C418" s="179">
        <f>E145</f>
        <v>165</v>
      </c>
      <c r="D418" s="179">
        <f>K59+L59</f>
        <v>165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354</v>
      </c>
    </row>
    <row r="424" spans="1:7" ht="12.65" customHeight="1" x14ac:dyDescent="0.35">
      <c r="A424" s="179" t="s">
        <v>1243</v>
      </c>
      <c r="B424" s="179">
        <f>D114</f>
        <v>652</v>
      </c>
      <c r="D424" s="179">
        <f>J59</f>
        <v>652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31519203</v>
      </c>
      <c r="C427" s="179">
        <f t="shared" ref="C427:C434" si="13">CE61</f>
        <v>31519203</v>
      </c>
      <c r="D427" s="179"/>
    </row>
    <row r="428" spans="1:7" ht="12.65" customHeight="1" x14ac:dyDescent="0.35">
      <c r="A428" s="179" t="s">
        <v>3</v>
      </c>
      <c r="B428" s="179">
        <f t="shared" si="12"/>
        <v>7580580</v>
      </c>
      <c r="C428" s="179">
        <f t="shared" si="13"/>
        <v>7580578</v>
      </c>
      <c r="D428" s="179">
        <f>D173</f>
        <v>7580580</v>
      </c>
    </row>
    <row r="429" spans="1:7" ht="12.65" customHeight="1" x14ac:dyDescent="0.35">
      <c r="A429" s="179" t="s">
        <v>236</v>
      </c>
      <c r="B429" s="179">
        <f t="shared" si="12"/>
        <v>5343108</v>
      </c>
      <c r="C429" s="179">
        <f t="shared" si="13"/>
        <v>5343108</v>
      </c>
      <c r="D429" s="179"/>
    </row>
    <row r="430" spans="1:7" ht="12.65" customHeight="1" x14ac:dyDescent="0.35">
      <c r="A430" s="179" t="s">
        <v>237</v>
      </c>
      <c r="B430" s="179">
        <f t="shared" si="12"/>
        <v>11471442</v>
      </c>
      <c r="C430" s="179">
        <f t="shared" si="13"/>
        <v>11471442</v>
      </c>
      <c r="D430" s="179"/>
    </row>
    <row r="431" spans="1:7" ht="12.65" customHeight="1" x14ac:dyDescent="0.35">
      <c r="A431" s="179" t="s">
        <v>444</v>
      </c>
      <c r="B431" s="179">
        <f t="shared" si="12"/>
        <v>749575</v>
      </c>
      <c r="C431" s="179">
        <f t="shared" si="13"/>
        <v>749575</v>
      </c>
      <c r="D431" s="179"/>
    </row>
    <row r="432" spans="1:7" ht="12.65" customHeight="1" x14ac:dyDescent="0.35">
      <c r="A432" s="179" t="s">
        <v>445</v>
      </c>
      <c r="B432" s="179">
        <f t="shared" si="12"/>
        <v>3560333</v>
      </c>
      <c r="C432" s="179">
        <f t="shared" si="13"/>
        <v>3560333</v>
      </c>
      <c r="D432" s="179"/>
    </row>
    <row r="433" spans="1:7" ht="12.65" customHeight="1" x14ac:dyDescent="0.35">
      <c r="A433" s="179" t="s">
        <v>6</v>
      </c>
      <c r="B433" s="179">
        <f t="shared" si="12"/>
        <v>2786234</v>
      </c>
      <c r="C433" s="179">
        <f t="shared" si="13"/>
        <v>2786236</v>
      </c>
      <c r="D433" s="179">
        <f>C217</f>
        <v>2786234</v>
      </c>
    </row>
    <row r="434" spans="1:7" ht="12.65" customHeight="1" x14ac:dyDescent="0.35">
      <c r="A434" s="179" t="s">
        <v>474</v>
      </c>
      <c r="B434" s="179">
        <f t="shared" si="12"/>
        <v>602979</v>
      </c>
      <c r="C434" s="179">
        <f t="shared" si="13"/>
        <v>602979</v>
      </c>
      <c r="D434" s="179">
        <f>D177</f>
        <v>602979</v>
      </c>
    </row>
    <row r="435" spans="1:7" ht="12.65" customHeight="1" x14ac:dyDescent="0.35">
      <c r="A435" s="179" t="s">
        <v>447</v>
      </c>
      <c r="B435" s="179">
        <f t="shared" si="12"/>
        <v>324809</v>
      </c>
      <c r="C435" s="179"/>
      <c r="D435" s="179">
        <f>D181</f>
        <v>324809</v>
      </c>
    </row>
    <row r="436" spans="1:7" ht="12.65" customHeight="1" x14ac:dyDescent="0.35">
      <c r="A436" s="179" t="s">
        <v>475</v>
      </c>
      <c r="B436" s="179">
        <f t="shared" si="12"/>
        <v>692680</v>
      </c>
      <c r="C436" s="179"/>
      <c r="D436" s="179">
        <f>D186</f>
        <v>692680</v>
      </c>
    </row>
    <row r="437" spans="1:7" ht="12.65" customHeight="1" x14ac:dyDescent="0.35">
      <c r="A437" s="194" t="s">
        <v>449</v>
      </c>
      <c r="B437" s="194">
        <f t="shared" si="12"/>
        <v>507557</v>
      </c>
      <c r="C437" s="194"/>
      <c r="D437" s="194">
        <f>D190</f>
        <v>507557</v>
      </c>
    </row>
    <row r="438" spans="1:7" ht="12.65" customHeight="1" x14ac:dyDescent="0.35">
      <c r="A438" s="194" t="s">
        <v>476</v>
      </c>
      <c r="B438" s="194">
        <f>C386+C387+C388</f>
        <v>1525046</v>
      </c>
      <c r="C438" s="194">
        <f>CD69</f>
        <v>1525046</v>
      </c>
      <c r="D438" s="194">
        <f>D181+D186+D190</f>
        <v>1525046</v>
      </c>
    </row>
    <row r="439" spans="1:7" ht="12.65" customHeight="1" x14ac:dyDescent="0.35">
      <c r="A439" s="179" t="s">
        <v>451</v>
      </c>
      <c r="B439" s="194">
        <f>C389</f>
        <v>829351</v>
      </c>
      <c r="C439" s="194">
        <f>SUM(C69:CC69)</f>
        <v>829351</v>
      </c>
      <c r="D439" s="179"/>
    </row>
    <row r="440" spans="1:7" ht="12.65" customHeight="1" x14ac:dyDescent="0.35">
      <c r="A440" s="179" t="s">
        <v>477</v>
      </c>
      <c r="B440" s="194">
        <f>B438+B439</f>
        <v>2354397</v>
      </c>
      <c r="C440" s="194">
        <f>CE69</f>
        <v>2354397</v>
      </c>
      <c r="D440" s="179"/>
    </row>
    <row r="441" spans="1:7" ht="12.65" customHeight="1" x14ac:dyDescent="0.35">
      <c r="A441" s="179" t="s">
        <v>478</v>
      </c>
      <c r="B441" s="179">
        <f>D390</f>
        <v>65967851</v>
      </c>
      <c r="C441" s="179">
        <f>SUM(C427:C437)+C440</f>
        <v>65967851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2093459</v>
      </c>
      <c r="C444" s="179">
        <f>C363</f>
        <v>2093459</v>
      </c>
      <c r="D444" s="179"/>
    </row>
    <row r="445" spans="1:7" ht="12.65" customHeight="1" x14ac:dyDescent="0.35">
      <c r="A445" s="179" t="s">
        <v>343</v>
      </c>
      <c r="B445" s="179">
        <f>D229</f>
        <v>55404428</v>
      </c>
      <c r="C445" s="179">
        <f>C364</f>
        <v>55404428</v>
      </c>
      <c r="D445" s="179"/>
    </row>
    <row r="446" spans="1:7" ht="12.65" customHeight="1" x14ac:dyDescent="0.35">
      <c r="A446" s="179" t="s">
        <v>351</v>
      </c>
      <c r="B446" s="179">
        <f>D236</f>
        <v>789958</v>
      </c>
      <c r="C446" s="179">
        <f>C365</f>
        <v>789958</v>
      </c>
      <c r="D446" s="179"/>
    </row>
    <row r="447" spans="1:7" ht="12.65" customHeight="1" x14ac:dyDescent="0.35">
      <c r="A447" s="179" t="s">
        <v>356</v>
      </c>
      <c r="B447" s="179">
        <f>D240</f>
        <v>1323679</v>
      </c>
      <c r="C447" s="179">
        <f>C366</f>
        <v>1323679</v>
      </c>
      <c r="D447" s="179"/>
    </row>
    <row r="448" spans="1:7" ht="12.65" customHeight="1" x14ac:dyDescent="0.35">
      <c r="A448" s="179" t="s">
        <v>358</v>
      </c>
      <c r="B448" s="179">
        <f>D242</f>
        <v>59611524</v>
      </c>
      <c r="C448" s="179">
        <f>D367</f>
        <v>59611524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529</v>
      </c>
    </row>
    <row r="454" spans="1:7" ht="12.65" customHeight="1" x14ac:dyDescent="0.35">
      <c r="A454" s="179" t="s">
        <v>168</v>
      </c>
      <c r="B454" s="179">
        <f>C233</f>
        <v>156137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633821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8399492</v>
      </c>
      <c r="C458" s="194">
        <f>CE70</f>
        <v>8399492</v>
      </c>
      <c r="D458" s="194"/>
    </row>
    <row r="459" spans="1:7" ht="12.65" customHeight="1" x14ac:dyDescent="0.35">
      <c r="A459" s="179" t="s">
        <v>244</v>
      </c>
      <c r="B459" s="194">
        <f>C371</f>
        <v>1239883</v>
      </c>
      <c r="C459" s="194">
        <f>CE72</f>
        <v>1239883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27773854</v>
      </c>
      <c r="C463" s="194">
        <f>CE73</f>
        <v>27773854</v>
      </c>
      <c r="D463" s="194">
        <f>E141+E147+E153</f>
        <v>27773854</v>
      </c>
    </row>
    <row r="464" spans="1:7" ht="12.65" customHeight="1" x14ac:dyDescent="0.35">
      <c r="A464" s="179" t="s">
        <v>246</v>
      </c>
      <c r="B464" s="194">
        <f>C360</f>
        <v>102007209</v>
      </c>
      <c r="C464" s="194">
        <f>CE74</f>
        <v>102007209</v>
      </c>
      <c r="D464" s="194">
        <f>E142+E148+E154</f>
        <v>102007209</v>
      </c>
    </row>
    <row r="465" spans="1:7" ht="12.65" customHeight="1" x14ac:dyDescent="0.35">
      <c r="A465" s="179" t="s">
        <v>247</v>
      </c>
      <c r="B465" s="194">
        <f>D361</f>
        <v>129781063</v>
      </c>
      <c r="C465" s="194">
        <f>CE75</f>
        <v>129781063</v>
      </c>
      <c r="D465" s="194">
        <f>D463+D464</f>
        <v>129781063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5" customHeight="1" x14ac:dyDescent="0.35">
      <c r="A469" s="179" t="s">
        <v>333</v>
      </c>
      <c r="B469" s="179">
        <f t="shared" si="14"/>
        <v>3693473</v>
      </c>
      <c r="C469" s="179">
        <f>E196</f>
        <v>3693473</v>
      </c>
      <c r="D469" s="179"/>
    </row>
    <row r="470" spans="1:7" ht="12.65" customHeight="1" x14ac:dyDescent="0.35">
      <c r="A470" s="179" t="s">
        <v>334</v>
      </c>
      <c r="B470" s="179">
        <f t="shared" si="14"/>
        <v>18503275</v>
      </c>
      <c r="C470" s="179">
        <f>E197</f>
        <v>18503275.370000001</v>
      </c>
      <c r="D470" s="179"/>
    </row>
    <row r="471" spans="1:7" ht="12.65" customHeight="1" x14ac:dyDescent="0.35">
      <c r="A471" s="179" t="s">
        <v>494</v>
      </c>
      <c r="B471" s="179">
        <f t="shared" si="14"/>
        <v>15793528</v>
      </c>
      <c r="C471" s="179">
        <f>E198</f>
        <v>15793528.35</v>
      </c>
      <c r="D471" s="179"/>
    </row>
    <row r="472" spans="1:7" ht="12.65" customHeight="1" x14ac:dyDescent="0.35">
      <c r="A472" s="179" t="s">
        <v>377</v>
      </c>
      <c r="B472" s="179">
        <f t="shared" si="14"/>
        <v>1055891</v>
      </c>
      <c r="C472" s="179">
        <f>E199</f>
        <v>1055890.2</v>
      </c>
      <c r="D472" s="179"/>
    </row>
    <row r="473" spans="1:7" ht="12.65" customHeight="1" x14ac:dyDescent="0.35">
      <c r="A473" s="179" t="s">
        <v>495</v>
      </c>
      <c r="B473" s="179">
        <f t="shared" si="14"/>
        <v>15652435</v>
      </c>
      <c r="C473" s="179">
        <f>SUM(E200:E201)</f>
        <v>15652434.579999998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71148</v>
      </c>
      <c r="C475" s="179">
        <f>E203</f>
        <v>71148</v>
      </c>
      <c r="D475" s="179"/>
    </row>
    <row r="476" spans="1:7" ht="12.65" customHeight="1" x14ac:dyDescent="0.35">
      <c r="A476" s="179" t="s">
        <v>203</v>
      </c>
      <c r="B476" s="179">
        <f>D275</f>
        <v>56583055</v>
      </c>
      <c r="C476" s="179">
        <f>E204</f>
        <v>56583054.5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31820960</v>
      </c>
      <c r="C478" s="179">
        <f>E217</f>
        <v>31820959.91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71471915</v>
      </c>
    </row>
    <row r="482" spans="1:12" ht="12.65" customHeight="1" x14ac:dyDescent="0.35">
      <c r="A482" s="180" t="s">
        <v>499</v>
      </c>
      <c r="C482" s="180">
        <f>D339</f>
        <v>71471915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172</v>
      </c>
      <c r="B493" s="260" t="str">
        <f>RIGHT('Prior Year'!C83,4)</f>
        <v>172</v>
      </c>
      <c r="C493" s="260" t="str">
        <f>RIGHT(C82,4)</f>
        <v>2021</v>
      </c>
      <c r="D493" s="260" t="str">
        <f>RIGHT('Prior Year'!C83,4)</f>
        <v>172</v>
      </c>
      <c r="E493" s="260" t="str">
        <f>RIGHT(C82,4)</f>
        <v>2021</v>
      </c>
      <c r="F493" s="260" t="str">
        <f>RIGHT('Prior Year'!C83,4)</f>
        <v>172</v>
      </c>
      <c r="G493" s="260" t="str">
        <f>RIGHT(C82,4)</f>
        <v>2021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f>'Prior Year'!C71</f>
        <v>1662774</v>
      </c>
      <c r="C496" s="239">
        <f>C71</f>
        <v>1647811</v>
      </c>
      <c r="D496" s="239">
        <f>'Prior Year'!C59</f>
        <v>600</v>
      </c>
      <c r="E496" s="180">
        <f>C59</f>
        <v>683</v>
      </c>
      <c r="F496" s="262">
        <f t="shared" ref="F496:G511" si="15">IF(B496=0,"",IF(D496=0,"",B496/D496))</f>
        <v>2771.29</v>
      </c>
      <c r="G496" s="263">
        <f t="shared" si="15"/>
        <v>2412.6076134699852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f>'Prior Year'!E71</f>
        <v>4488628</v>
      </c>
      <c r="C498" s="239">
        <f>E71</f>
        <v>4340584</v>
      </c>
      <c r="D498" s="239">
        <f>'Prior Year'!E59</f>
        <v>2851</v>
      </c>
      <c r="E498" s="180">
        <f>E59</f>
        <v>2391</v>
      </c>
      <c r="F498" s="262">
        <f t="shared" si="15"/>
        <v>1574.4047702560506</v>
      </c>
      <c r="G498" s="262">
        <f t="shared" si="15"/>
        <v>1815.3843580092012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711</v>
      </c>
      <c r="E503" s="180">
        <f>J59</f>
        <v>652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181</v>
      </c>
      <c r="E505" s="180">
        <f>L59</f>
        <v>165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f>'Prior Year'!O71</f>
        <v>2731315</v>
      </c>
      <c r="C508" s="239">
        <f>O71</f>
        <v>2732607</v>
      </c>
      <c r="D508" s="239">
        <f>'Prior Year'!O59</f>
        <v>358</v>
      </c>
      <c r="E508" s="180">
        <f>O59</f>
        <v>354</v>
      </c>
      <c r="F508" s="262">
        <f t="shared" si="15"/>
        <v>7629.3715083798879</v>
      </c>
      <c r="G508" s="262">
        <f t="shared" si="15"/>
        <v>7719.2288135593217</v>
      </c>
      <c r="H508" s="264" t="str">
        <f t="shared" si="16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f>'Prior Year'!P71</f>
        <v>7222692</v>
      </c>
      <c r="C509" s="239">
        <f>P71</f>
        <v>7161253</v>
      </c>
      <c r="D509" s="239">
        <f>'Prior Year'!P59</f>
        <v>215571</v>
      </c>
      <c r="E509" s="180">
        <f>P59</f>
        <v>216756</v>
      </c>
      <c r="F509" s="262">
        <f t="shared" si="15"/>
        <v>33.504933409410356</v>
      </c>
      <c r="G509" s="262">
        <f t="shared" si="15"/>
        <v>33.038314971673216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f>'Prior Year'!Q71</f>
        <v>0</v>
      </c>
      <c r="C510" s="239">
        <f>Q71</f>
        <v>24850</v>
      </c>
      <c r="D510" s="239">
        <f>'Prior Year'!Q59</f>
        <v>105830</v>
      </c>
      <c r="E510" s="180">
        <f>Q59</f>
        <v>99278</v>
      </c>
      <c r="F510" s="262" t="str">
        <f t="shared" si="15"/>
        <v/>
      </c>
      <c r="G510" s="262">
        <f t="shared" si="15"/>
        <v>0.25030721811478879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f>'Prior Year'!R71</f>
        <v>478914</v>
      </c>
      <c r="C511" s="239">
        <f>R71</f>
        <v>621996</v>
      </c>
      <c r="D511" s="239">
        <f>'Prior Year'!R59</f>
        <v>161700</v>
      </c>
      <c r="E511" s="180">
        <f>R59</f>
        <v>166440</v>
      </c>
      <c r="F511" s="262">
        <f t="shared" si="15"/>
        <v>2.9617439703153989</v>
      </c>
      <c r="G511" s="262">
        <f t="shared" si="15"/>
        <v>3.7370583994232156</v>
      </c>
      <c r="H511" s="264">
        <f t="shared" si="16"/>
        <v>0.26177631722341377</v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f>'Prior Year'!S71</f>
        <v>4870749</v>
      </c>
      <c r="C512" s="239">
        <f>S71</f>
        <v>4558505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5">
      <c r="A513" s="180" t="s">
        <v>1245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f>'Prior Year'!U71</f>
        <v>2643619</v>
      </c>
      <c r="C514" s="239">
        <f>U71</f>
        <v>2631338</v>
      </c>
      <c r="D514" s="239">
        <f>'Prior Year'!U59</f>
        <v>110516</v>
      </c>
      <c r="E514" s="180">
        <f>U59</f>
        <v>110012</v>
      </c>
      <c r="F514" s="262">
        <f t="shared" si="17"/>
        <v>23.920690216801187</v>
      </c>
      <c r="G514" s="262">
        <f t="shared" si="17"/>
        <v>23.918645238701231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f>'Prior Year'!V71</f>
        <v>7486</v>
      </c>
      <c r="C515" s="239">
        <f>V71</f>
        <v>7151</v>
      </c>
      <c r="D515" s="239">
        <f>'Prior Year'!V59</f>
        <v>3574</v>
      </c>
      <c r="E515" s="180">
        <f>V59</f>
        <v>3412</v>
      </c>
      <c r="F515" s="262">
        <f t="shared" si="17"/>
        <v>2.0945719082260772</v>
      </c>
      <c r="G515" s="262">
        <f t="shared" si="17"/>
        <v>2.0958382180539274</v>
      </c>
      <c r="H515" s="264" t="str">
        <f t="shared" si="16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f>'Prior Year'!W71</f>
        <v>587180</v>
      </c>
      <c r="C516" s="239">
        <f>W71</f>
        <v>567098</v>
      </c>
      <c r="D516" s="239">
        <f>'Prior Year'!W59</f>
        <v>2866</v>
      </c>
      <c r="E516" s="180">
        <f>W59</f>
        <v>2536</v>
      </c>
      <c r="F516" s="262">
        <f t="shared" si="17"/>
        <v>204.87787857641311</v>
      </c>
      <c r="G516" s="262">
        <f t="shared" si="17"/>
        <v>223.61908517350159</v>
      </c>
      <c r="H516" s="264" t="str">
        <f t="shared" si="16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f>'Prior Year'!X71</f>
        <v>269621</v>
      </c>
      <c r="C517" s="239">
        <f>X71</f>
        <v>268899</v>
      </c>
      <c r="D517" s="239">
        <f>'Prior Year'!X59</f>
        <v>4910</v>
      </c>
      <c r="E517" s="180">
        <f>X59</f>
        <v>4578</v>
      </c>
      <c r="F517" s="262">
        <f t="shared" si="17"/>
        <v>54.912627291242366</v>
      </c>
      <c r="G517" s="262">
        <f t="shared" si="17"/>
        <v>58.737221494102229</v>
      </c>
      <c r="H517" s="264" t="str">
        <f t="shared" si="16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f>'Prior Year'!Y71</f>
        <v>2980818</v>
      </c>
      <c r="C518" s="239">
        <f>Y71</f>
        <v>2946082</v>
      </c>
      <c r="D518" s="239">
        <f>'Prior Year'!Y59</f>
        <v>25356</v>
      </c>
      <c r="E518" s="180">
        <f>Y59</f>
        <v>22572</v>
      </c>
      <c r="F518" s="262">
        <f t="shared" si="17"/>
        <v>117.55868433506862</v>
      </c>
      <c r="G518" s="262">
        <f t="shared" si="17"/>
        <v>130.51931596668439</v>
      </c>
      <c r="H518" s="264" t="str">
        <f t="shared" si="16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f>'Prior Year'!AA71</f>
        <v>789006</v>
      </c>
      <c r="C520" s="239">
        <f>AA71</f>
        <v>883989</v>
      </c>
      <c r="D520" s="239">
        <f>'Prior Year'!AA59</f>
        <v>803</v>
      </c>
      <c r="E520" s="180">
        <f>AA59</f>
        <v>863</v>
      </c>
      <c r="F520" s="262">
        <f t="shared" si="17"/>
        <v>982.57285180572853</v>
      </c>
      <c r="G520" s="262">
        <f t="shared" si="17"/>
        <v>1024.3209733487834</v>
      </c>
      <c r="H520" s="264" t="str">
        <f t="shared" si="16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f>'Prior Year'!AB71</f>
        <v>4520472</v>
      </c>
      <c r="C521" s="239">
        <f>AB71</f>
        <v>4477623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f>'Prior Year'!AC71</f>
        <v>1372896</v>
      </c>
      <c r="C522" s="239">
        <f>AC71</f>
        <v>1129274</v>
      </c>
      <c r="D522" s="239">
        <f>'Prior Year'!AC59</f>
        <v>13692</v>
      </c>
      <c r="E522" s="180">
        <f>AC59</f>
        <v>13786</v>
      </c>
      <c r="F522" s="262">
        <f t="shared" si="17"/>
        <v>100.26993865030674</v>
      </c>
      <c r="G522" s="262">
        <f t="shared" si="17"/>
        <v>81.914550993761793</v>
      </c>
      <c r="H522" s="264" t="str">
        <f t="shared" si="16"/>
        <v/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f>'Prior Year'!AE71</f>
        <v>4415111</v>
      </c>
      <c r="C524" s="239">
        <f>AE71</f>
        <v>4169056</v>
      </c>
      <c r="D524" s="239">
        <f>'Prior Year'!AE59</f>
        <v>38141</v>
      </c>
      <c r="E524" s="180">
        <f>AE59</f>
        <v>28430</v>
      </c>
      <c r="F524" s="262">
        <f t="shared" si="17"/>
        <v>115.75760992108231</v>
      </c>
      <c r="G524" s="262">
        <f t="shared" si="17"/>
        <v>146.64284206823777</v>
      </c>
      <c r="H524" s="264">
        <f t="shared" si="16"/>
        <v>0.26680951833932531</v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f>'Prior Year'!AG71</f>
        <v>6277890</v>
      </c>
      <c r="C526" s="239">
        <f>AG71</f>
        <v>6204542</v>
      </c>
      <c r="D526" s="239">
        <f>'Prior Year'!AG59</f>
        <v>12662</v>
      </c>
      <c r="E526" s="180">
        <f>AG59</f>
        <v>11108</v>
      </c>
      <c r="F526" s="262">
        <f t="shared" si="17"/>
        <v>495.80555994313693</v>
      </c>
      <c r="G526" s="262">
        <f t="shared" si="17"/>
        <v>558.56517824990999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f>'Prior Year'!AJ71</f>
        <v>92217</v>
      </c>
      <c r="C529" s="239">
        <f>AJ71</f>
        <v>102459</v>
      </c>
      <c r="D529" s="239">
        <f>'Prior Year'!AJ59</f>
        <v>340</v>
      </c>
      <c r="E529" s="180">
        <f>AJ59</f>
        <v>354</v>
      </c>
      <c r="F529" s="262">
        <f t="shared" si="18"/>
        <v>271.22647058823532</v>
      </c>
      <c r="G529" s="262">
        <f t="shared" si="18"/>
        <v>289.43220338983053</v>
      </c>
      <c r="H529" s="264" t="str">
        <f t="shared" si="16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5">
      <c r="A533" s="180" t="s">
        <v>1246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f>'Prior Year'!AP71</f>
        <v>0</v>
      </c>
      <c r="C535" s="239">
        <f>AP71</f>
        <v>947831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f>'Prior Year'!AV71</f>
        <v>-9825</v>
      </c>
      <c r="C541" s="239">
        <f>AV71</f>
        <v>-125021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1247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f>'Prior Year'!AY71</f>
        <v>1861718</v>
      </c>
      <c r="C544" s="239">
        <f>AY71</f>
        <v>1605471</v>
      </c>
      <c r="D544" s="239">
        <f>'Prior Year'!AY59</f>
        <v>21476.37</v>
      </c>
      <c r="E544" s="180">
        <f>AY59</f>
        <v>20824.39</v>
      </c>
      <c r="F544" s="262">
        <f t="shared" ref="F544:G550" si="19">IF(B544=0,"",IF(D544=0,"",B544/D544))</f>
        <v>86.686809735537253</v>
      </c>
      <c r="G544" s="262">
        <f t="shared" si="19"/>
        <v>77.095703643660158</v>
      </c>
      <c r="H544" s="264" t="str">
        <f t="shared" si="16"/>
        <v/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f>'Prior Year'!AZ71</f>
        <v>-604044</v>
      </c>
      <c r="C545" s="239">
        <f>AZ71</f>
        <v>-361912</v>
      </c>
      <c r="D545" s="239">
        <f>'Prior Year'!AZ59</f>
        <v>89538.42</v>
      </c>
      <c r="E545" s="180">
        <f>AZ59</f>
        <v>55991.189999999995</v>
      </c>
      <c r="F545" s="262">
        <f t="shared" si="19"/>
        <v>-6.7461990059686112</v>
      </c>
      <c r="G545" s="262">
        <f t="shared" si="19"/>
        <v>-6.4637311691357162</v>
      </c>
      <c r="H545" s="264" t="str">
        <f t="shared" si="16"/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f>'Prior Year'!BA71</f>
        <v>253057</v>
      </c>
      <c r="C546" s="239">
        <f>BA71</f>
        <v>258709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f>'Prior Year'!BB71</f>
        <v>619019</v>
      </c>
      <c r="C547" s="239">
        <f>BB71</f>
        <v>638418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f>'Prior Year'!BD71</f>
        <v>648581</v>
      </c>
      <c r="C549" s="239">
        <f>BD71</f>
        <v>616850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f>'Prior Year'!BE71</f>
        <v>1737260</v>
      </c>
      <c r="C550" s="239">
        <f>BE71</f>
        <v>1630252</v>
      </c>
      <c r="D550" s="239">
        <f>'Prior Year'!BE59</f>
        <v>120387</v>
      </c>
      <c r="E550" s="180">
        <f>BE59</f>
        <v>120387</v>
      </c>
      <c r="F550" s="262">
        <f t="shared" si="19"/>
        <v>14.430627891715883</v>
      </c>
      <c r="G550" s="262">
        <f t="shared" si="19"/>
        <v>13.541761153612931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f>'Prior Year'!BF71</f>
        <v>818723</v>
      </c>
      <c r="C551" s="239">
        <f>BF71</f>
        <v>808165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f>'Prior Year'!BH71</f>
        <v>1896207</v>
      </c>
      <c r="C553" s="239">
        <f>BH71</f>
        <v>1892249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f>'Prior Year'!BI71</f>
        <v>908734</v>
      </c>
      <c r="C554" s="239">
        <f>BI71</f>
        <v>830674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f>'Prior Year'!BK71</f>
        <v>1393769</v>
      </c>
      <c r="C556" s="239">
        <f>BK71</f>
        <v>1467707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f>'Prior Year'!BL71</f>
        <v>636392</v>
      </c>
      <c r="C557" s="239">
        <f>BL71</f>
        <v>594211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f>'Prior Year'!BM71</f>
        <v>264325</v>
      </c>
      <c r="C558" s="239">
        <f>BM71</f>
        <v>547807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f>'Prior Year'!BN71</f>
        <v>1534633</v>
      </c>
      <c r="C559" s="239">
        <f>BN71</f>
        <v>1304031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f>'Prior Year'!BO71</f>
        <v>130780</v>
      </c>
      <c r="C560" s="239">
        <f>BO71</f>
        <v>101262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f>'Prior Year'!BP71</f>
        <v>865921</v>
      </c>
      <c r="C561" s="239">
        <f>BP71</f>
        <v>784773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f>'Prior Year'!BR71</f>
        <v>972272</v>
      </c>
      <c r="C563" s="239">
        <f>BR71</f>
        <v>852230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1248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f>'Prior Year'!BV71</f>
        <v>603722</v>
      </c>
      <c r="C567" s="239">
        <f>BV71</f>
        <v>584201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f>'Prior Year'!BW71</f>
        <v>1769561</v>
      </c>
      <c r="C568" s="239">
        <f>BW71</f>
        <v>1731762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f>'Prior Year'!BX71</f>
        <v>423513</v>
      </c>
      <c r="C569" s="239">
        <f>BX71</f>
        <v>391420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f>'Prior Year'!BY71</f>
        <v>1047611</v>
      </c>
      <c r="C570" s="239">
        <f>BY71</f>
        <v>1049000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f>'Prior Year'!CC71</f>
        <v>611098</v>
      </c>
      <c r="C574" s="239">
        <f>CC71</f>
        <v>584432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 t="str">
        <f>'Prior Year'!CD72</f>
        <v>x</v>
      </c>
      <c r="C575" s="239">
        <f>CD71</f>
        <v>-5641280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107236</v>
      </c>
      <c r="E612" s="180">
        <f>SUM(C624:D647)+SUM(C668:D713)</f>
        <v>55983272.749860123</v>
      </c>
      <c r="F612" s="180">
        <f>CE64-(AX64+BD64+BE64+BG64+BJ64+BN64+BP64+BQ64+CB64+CC64+CD64)</f>
        <v>11436232</v>
      </c>
      <c r="G612" s="180">
        <f>CE77-(AX77+AY77+BD77+BE77+BG77+BJ77+BN77+BP77+BQ77+CB77+CC77+CD77)</f>
        <v>74821.38</v>
      </c>
      <c r="H612" s="197">
        <f>CE60-(AX60+AY60+AZ60+BD60+BE60+BG60+BJ60+BN60+BO60+BP60+BQ60+BR60+CB60+CC60+CD60)</f>
        <v>306.03000000000014</v>
      </c>
      <c r="I612" s="180">
        <f>CE78-(AX78+AY78+AZ78+BD78+BE78+BF78+BG78+BJ78+BN78+BO78+BP78+BQ78+BR78+CB78+CC78+CD78)</f>
        <v>22274</v>
      </c>
      <c r="J612" s="180">
        <f>CE79-(AX79+AY79+AZ79+BA79+BD79+BE79+BF79+BG79+BJ79+BN79+BO79+BP79+BQ79+BR79+CB79+CC79+CD79)</f>
        <v>300407</v>
      </c>
      <c r="K612" s="180">
        <f>CE75-(AW75+AX75+AY75+AZ75+BA75+BB75+BC75+BD75+BE75+BF75+BG75+BH75+BI75+BJ75+BK75+BL75+BM75+BN75+BO75+BP75+BQ75+BR75+BS75+BT75+BU75+BV75+BW75+BX75+CB75+CC75+CD75)</f>
        <v>129781063</v>
      </c>
      <c r="L612" s="197">
        <f>CE80-(AW80+AX80+AY80+AZ80+BA80+BB80+BC80+BD80+BE80+BF80+BG80+BH80+BI80+BJ80+BK80+BL80+BM80+BN80+BO80+BP80+BQ80+BR80+BS80+BT80+BU80+BV80+BW80+BX80+BY80+BZ80+CA80+CB80+CC80+CD80)</f>
        <v>76.243200961538463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1630252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-5641280</v>
      </c>
      <c r="D615" s="265">
        <f>SUM(C614:C615)</f>
        <v>-4011028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1304031</v>
      </c>
      <c r="D619" s="180">
        <f>(D615/D612)*BN76</f>
        <v>-133344.35096422842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584432</v>
      </c>
      <c r="D620" s="180">
        <f>(D615/D612)*CC76</f>
        <v>-944519.36901786702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784773</v>
      </c>
      <c r="D621" s="180">
        <f>(D615/D612)*BP76</f>
        <v>-10286.029878026035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1585086.2501398784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616850</v>
      </c>
      <c r="D624" s="180">
        <f>(D615/D612)*BD76</f>
        <v>-105441.15718601961</v>
      </c>
      <c r="E624" s="180">
        <f>(E623/E612)*SUM(C624:D624)</f>
        <v>14479.809506070937</v>
      </c>
      <c r="F624" s="180">
        <f>SUM(C624:E624)</f>
        <v>525888.65232005133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1605471</v>
      </c>
      <c r="D625" s="180">
        <f>(D615/D612)*AY76</f>
        <v>-178266.24872244394</v>
      </c>
      <c r="E625" s="180">
        <f>(E623/E612)*SUM(C625:D625)</f>
        <v>40409.260056880325</v>
      </c>
      <c r="F625" s="180">
        <f>(F624/F612)*AY64</f>
        <v>21152.2876943556</v>
      </c>
      <c r="G625" s="180">
        <f>SUM(C625:F625)</f>
        <v>1488766.2990287922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852230</v>
      </c>
      <c r="D626" s="180">
        <f>(D615/D612)*BR76</f>
        <v>-10286.029878026035</v>
      </c>
      <c r="E626" s="180">
        <f>(E623/E612)*SUM(C626:D626)</f>
        <v>23838.43860632203</v>
      </c>
      <c r="F626" s="180">
        <f>(F624/F612)*BR64</f>
        <v>278.15983952441593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101262</v>
      </c>
      <c r="D627" s="180">
        <f>(D615/D612)*BO76</f>
        <v>0</v>
      </c>
      <c r="E627" s="180">
        <f>(E623/E612)*SUM(C627:D627)</f>
        <v>2867.0886137514244</v>
      </c>
      <c r="F627" s="180">
        <f>(F624/F612)*BO64</f>
        <v>1.9773306496197529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-361912</v>
      </c>
      <c r="D628" s="180">
        <f>(D615/D612)*AZ76</f>
        <v>0</v>
      </c>
      <c r="E628" s="180">
        <f>(E623/E612)*SUM(C628:D628)</f>
        <v>-10247.020347020654</v>
      </c>
      <c r="F628" s="180">
        <f>(F624/F612)*AZ64</f>
        <v>0</v>
      </c>
      <c r="G628" s="180">
        <f>(G625/G612)*AZ77</f>
        <v>1074411.0018908726</v>
      </c>
      <c r="H628" s="180">
        <f>SUM(C626:G628)</f>
        <v>1672443.6160560735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808165</v>
      </c>
      <c r="D629" s="180">
        <f>(D615/D612)*BF76</f>
        <v>-14026.404379126412</v>
      </c>
      <c r="E629" s="180">
        <f>(E623/E612)*SUM(C629:D629)</f>
        <v>22484.897841689417</v>
      </c>
      <c r="F629" s="180">
        <f>(F624/F612)*BF64</f>
        <v>2044.0080785022794</v>
      </c>
      <c r="G629" s="180">
        <f>(G625/G612)*BF77</f>
        <v>0</v>
      </c>
      <c r="H629" s="180">
        <f>(H628/H612)*BF60</f>
        <v>69186.472500310032</v>
      </c>
      <c r="I629" s="180">
        <f>SUM(C629:H629)</f>
        <v>887853.97404137533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258709</v>
      </c>
      <c r="D630" s="180">
        <f>(D615/D612)*BA76</f>
        <v>-48400.446044238874</v>
      </c>
      <c r="E630" s="180">
        <f>(E623/E612)*SUM(C630:D630)</f>
        <v>5954.5857322696556</v>
      </c>
      <c r="F630" s="180">
        <f>(F624/F612)*BA64</f>
        <v>0</v>
      </c>
      <c r="G630" s="180">
        <f>(G625/G612)*BA77</f>
        <v>0</v>
      </c>
      <c r="H630" s="180">
        <f>(H628/H612)*BA60</f>
        <v>4426.6226481241019</v>
      </c>
      <c r="I630" s="180">
        <f>(I629/I612)*BA78</f>
        <v>11280.536708885213</v>
      </c>
      <c r="J630" s="180">
        <f>SUM(C630:I630)</f>
        <v>231970.2990450401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638418</v>
      </c>
      <c r="D632" s="180">
        <f>(D615/D612)*BB76</f>
        <v>-5610.5617516505645</v>
      </c>
      <c r="E632" s="180">
        <f>(E623/E612)*SUM(C632:D632)</f>
        <v>17917.03700202495</v>
      </c>
      <c r="F632" s="180">
        <f>(F624/F612)*BB64</f>
        <v>15.680691895821761</v>
      </c>
      <c r="G632" s="180">
        <f>(G625/G612)*BB77</f>
        <v>0</v>
      </c>
      <c r="H632" s="180">
        <f>(H628/H612)*BB60</f>
        <v>33554.892666027139</v>
      </c>
      <c r="I632" s="180">
        <f>(I629/I612)*BB78</f>
        <v>1315.3982734742474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830674</v>
      </c>
      <c r="D634" s="180">
        <f>(D615/D612)*BI76</f>
        <v>0</v>
      </c>
      <c r="E634" s="180">
        <f>(E623/E612)*SUM(C634:D634)</f>
        <v>23519.345530794875</v>
      </c>
      <c r="F634" s="180">
        <f>(F624/F612)*BI64</f>
        <v>144.62104402451448</v>
      </c>
      <c r="G634" s="180">
        <f>(G625/G612)*BI77</f>
        <v>0</v>
      </c>
      <c r="H634" s="180">
        <f>(H628/H612)*BI60</f>
        <v>24810.946694423976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1467707</v>
      </c>
      <c r="D635" s="180">
        <f>(D615/D612)*BK76</f>
        <v>0</v>
      </c>
      <c r="E635" s="180">
        <f>(E623/E612)*SUM(C635:D635)</f>
        <v>41556.023266608026</v>
      </c>
      <c r="F635" s="180">
        <f>(F624/F612)*BK64</f>
        <v>1186.5363430729881</v>
      </c>
      <c r="G635" s="180">
        <f>(G625/G612)*BK77</f>
        <v>0</v>
      </c>
      <c r="H635" s="180">
        <f>(H628/H612)*BK60</f>
        <v>71317.809330888311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1892249</v>
      </c>
      <c r="D636" s="180">
        <f>(D615/D612)*BH76</f>
        <v>-69832.791935544024</v>
      </c>
      <c r="E636" s="180">
        <f>(E623/E612)*SUM(C636:D636)</f>
        <v>51599.106867903545</v>
      </c>
      <c r="F636" s="180">
        <f>(F624/F612)*BH64</f>
        <v>254.15596512670638</v>
      </c>
      <c r="G636" s="180">
        <f>(G625/G612)*BH77</f>
        <v>0</v>
      </c>
      <c r="H636" s="180">
        <f>(H628/H612)*BH60</f>
        <v>43774.379520338334</v>
      </c>
      <c r="I636" s="180">
        <f>(I629/I612)*BH78</f>
        <v>10483.325634052335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594211</v>
      </c>
      <c r="D637" s="180">
        <f>(D615/D612)*BL76</f>
        <v>-32391.643179529259</v>
      </c>
      <c r="E637" s="180">
        <f>(E623/E612)*SUM(C637:D637)</f>
        <v>15907.111067578366</v>
      </c>
      <c r="F637" s="180">
        <f>(F624/F612)*BL64</f>
        <v>422.87285241635459</v>
      </c>
      <c r="G637" s="180">
        <f>(G625/G612)*BL77</f>
        <v>0</v>
      </c>
      <c r="H637" s="180">
        <f>(H628/H612)*BL60</f>
        <v>49239.345752590314</v>
      </c>
      <c r="I637" s="180">
        <f>(I629/I612)*BL78</f>
        <v>7533.6446571706902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547807</v>
      </c>
      <c r="D638" s="180">
        <f>(D615/D612)*BM76</f>
        <v>-10286.029878026035</v>
      </c>
      <c r="E638" s="180">
        <f>(E623/E612)*SUM(C638:D638)</f>
        <v>15219.137021679715</v>
      </c>
      <c r="F638" s="180">
        <f>(F624/F612)*BM64</f>
        <v>232.95714118543415</v>
      </c>
      <c r="G638" s="180">
        <f>(G625/G612)*BM77</f>
        <v>0</v>
      </c>
      <c r="H638" s="180">
        <f>(H628/H612)*BM60</f>
        <v>22406.361552233106</v>
      </c>
      <c r="I638" s="180">
        <f>(I629/I612)*BM78</f>
        <v>2391.6332244986315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584201</v>
      </c>
      <c r="D642" s="180">
        <f>(D615/D612)*BV76</f>
        <v>-50607.266999888096</v>
      </c>
      <c r="E642" s="180">
        <f>(E623/E612)*SUM(C642:D642)</f>
        <v>15107.942922851005</v>
      </c>
      <c r="F642" s="180">
        <f>(F624/F612)*BV64</f>
        <v>148.06987655292102</v>
      </c>
      <c r="G642" s="180">
        <f>(G625/G612)*BV77</f>
        <v>0</v>
      </c>
      <c r="H642" s="180">
        <f>(H628/H612)*BV60</f>
        <v>18471.585865011682</v>
      </c>
      <c r="I642" s="180">
        <f>(I629/I612)*BV78</f>
        <v>11798.723907526582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1731762</v>
      </c>
      <c r="D643" s="180">
        <f>(D615/D612)*BW76</f>
        <v>-5610.5617516505645</v>
      </c>
      <c r="E643" s="180">
        <f>(E623/E612)*SUM(C643:D643)</f>
        <v>48873.507675263056</v>
      </c>
      <c r="F643" s="180">
        <f>(F624/F612)*BW64</f>
        <v>95.463684386293181</v>
      </c>
      <c r="G643" s="180">
        <f>(G625/G612)*BW77</f>
        <v>0</v>
      </c>
      <c r="H643" s="180">
        <f>(H628/H612)*BW60</f>
        <v>18635.534851979242</v>
      </c>
      <c r="I643" s="180">
        <f>(I629/I612)*BW78</f>
        <v>1315.3982734742474</v>
      </c>
      <c r="J643" s="180">
        <f>(J630/J612)*BW79</f>
        <v>976.04402691325652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391420</v>
      </c>
      <c r="D644" s="180">
        <f>(D615/D612)*BX76</f>
        <v>-5610.5617516505645</v>
      </c>
      <c r="E644" s="180">
        <f>(E623/E612)*SUM(C644:D644)</f>
        <v>10923.642111351503</v>
      </c>
      <c r="F644" s="180">
        <f>(F624/F612)*BX64</f>
        <v>7.357509393933964</v>
      </c>
      <c r="G644" s="180">
        <f>(G625/G612)*BX77</f>
        <v>0</v>
      </c>
      <c r="H644" s="180">
        <f>(H628/H612)*BX60</f>
        <v>15028.657138692937</v>
      </c>
      <c r="I644" s="180">
        <f>(I629/I612)*BX78</f>
        <v>1315.3982734742474</v>
      </c>
      <c r="J644" s="180">
        <f>(J630/J612)*BX79</f>
        <v>0</v>
      </c>
      <c r="K644" s="180">
        <f>SUM(C631:J644)</f>
        <v>9075999.2309689354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1049000</v>
      </c>
      <c r="D645" s="180">
        <f>(D615/D612)*BY76</f>
        <v>-5610.5617516505645</v>
      </c>
      <c r="E645" s="180">
        <f>(E623/E612)*SUM(C645:D645)</f>
        <v>29542.078747312298</v>
      </c>
      <c r="F645" s="180">
        <f>(F624/F612)*BY64</f>
        <v>54.445569515111337</v>
      </c>
      <c r="G645" s="180">
        <f>(G625/G612)*BY77</f>
        <v>0</v>
      </c>
      <c r="H645" s="180">
        <f>(H628/H612)*BY60</f>
        <v>28363.174745387762</v>
      </c>
      <c r="I645" s="180">
        <f>(I629/I612)*BY78</f>
        <v>1315.3982734742474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1102664.5355840388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12270432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1647811</v>
      </c>
      <c r="D668" s="180">
        <f>(D615/D612)*C76</f>
        <v>-67476.355999850784</v>
      </c>
      <c r="E668" s="180">
        <f>(E623/E612)*SUM(C668:D668)</f>
        <v>44744.913824828058</v>
      </c>
      <c r="F668" s="180">
        <f>(F624/F612)*C64</f>
        <v>2685.5369132196092</v>
      </c>
      <c r="G668" s="180">
        <f>(G625/G612)*C77</f>
        <v>85120.563314980842</v>
      </c>
      <c r="H668" s="180">
        <f>(H628/H612)*C60</f>
        <v>71427.108655533346</v>
      </c>
      <c r="I668" s="180">
        <f>(I629/I612)*C78</f>
        <v>52496.349277744965</v>
      </c>
      <c r="J668" s="180">
        <f>(J630/J612)*C79</f>
        <v>12863.086550886888</v>
      </c>
      <c r="K668" s="180">
        <f>(K644/K612)*C75</f>
        <v>173083.30051713291</v>
      </c>
      <c r="L668" s="180">
        <f>(L647/L612)*C80</f>
        <v>137515.0856926557</v>
      </c>
      <c r="M668" s="180">
        <f t="shared" ref="M668:M713" si="20">ROUND(SUM(D668:L668),0)</f>
        <v>512460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4340584</v>
      </c>
      <c r="D670" s="180">
        <f>(D615/D612)*E76</f>
        <v>-363302.57529187953</v>
      </c>
      <c r="E670" s="180">
        <f>(E623/E612)*SUM(C670:D670)</f>
        <v>112611.03164529336</v>
      </c>
      <c r="F670" s="180">
        <f>(F624/F612)*E64</f>
        <v>3682.5254205313731</v>
      </c>
      <c r="G670" s="180">
        <f>(G625/G612)*E77</f>
        <v>155143.42053694287</v>
      </c>
      <c r="H670" s="180">
        <f>(H628/H612)*E60</f>
        <v>144930.90447932243</v>
      </c>
      <c r="I670" s="180">
        <f>(I629/I612)*E78</f>
        <v>146965.86164544092</v>
      </c>
      <c r="J670" s="180">
        <f>(J630/J612)*E79</f>
        <v>38590.031839390824</v>
      </c>
      <c r="K670" s="180">
        <f>(K644/K612)*E75</f>
        <v>417996.13368430367</v>
      </c>
      <c r="L670" s="180">
        <f>(L647/L612)*E80</f>
        <v>214621.57249779816</v>
      </c>
      <c r="M670" s="180">
        <f t="shared" si="20"/>
        <v>871239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15007.449100521473</v>
      </c>
      <c r="K675" s="180">
        <f>(K644/K612)*J75</f>
        <v>32345.203246723508</v>
      </c>
      <c r="L675" s="180">
        <f>(L647/L612)*J80</f>
        <v>0</v>
      </c>
      <c r="M675" s="180">
        <f t="shared" si="20"/>
        <v>47353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14507.143530407737</v>
      </c>
      <c r="L677" s="180">
        <f>(L647/L612)*L80</f>
        <v>0</v>
      </c>
      <c r="M677" s="180">
        <f t="shared" si="20"/>
        <v>14507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2732607</v>
      </c>
      <c r="D680" s="180">
        <f>(D615/D612)*O76</f>
        <v>-309740.41243612219</v>
      </c>
      <c r="E680" s="180">
        <f>(E623/E612)*SUM(C680:D680)</f>
        <v>68600.000057703408</v>
      </c>
      <c r="F680" s="180">
        <f>(F624/F612)*O64</f>
        <v>4793.8312300513862</v>
      </c>
      <c r="G680" s="180">
        <f>(G625/G612)*O77</f>
        <v>90599.368977714912</v>
      </c>
      <c r="H680" s="180">
        <f>(H628/H612)*O60</f>
        <v>107386.58646375134</v>
      </c>
      <c r="I680" s="180">
        <f>(I629/I612)*O78</f>
        <v>115476.02418954227</v>
      </c>
      <c r="J680" s="180">
        <f>(J630/J612)*O79</f>
        <v>30014.126014312791</v>
      </c>
      <c r="K680" s="180">
        <f>(K644/K612)*O75</f>
        <v>198774.99343751845</v>
      </c>
      <c r="L680" s="180">
        <f>(L647/L612)*O80</f>
        <v>211843.80600889836</v>
      </c>
      <c r="M680" s="180">
        <f t="shared" si="20"/>
        <v>517748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7161253</v>
      </c>
      <c r="D681" s="180">
        <f>(D615/D612)*P76</f>
        <v>-602686.54336230364</v>
      </c>
      <c r="E681" s="180">
        <f>(E623/E612)*SUM(C681:D681)</f>
        <v>185696.4232422623</v>
      </c>
      <c r="F681" s="180">
        <f>(F624/F612)*P64</f>
        <v>63575.686859778842</v>
      </c>
      <c r="G681" s="180">
        <f>(G625/G612)*P77</f>
        <v>49229.262590667342</v>
      </c>
      <c r="H681" s="180">
        <f>(H628/H612)*P60</f>
        <v>243190.99733521297</v>
      </c>
      <c r="I681" s="180">
        <f>(I629/I612)*P78</f>
        <v>94469.512367695948</v>
      </c>
      <c r="J681" s="180">
        <f>(J630/J612)*P79</f>
        <v>38590.031839390824</v>
      </c>
      <c r="K681" s="180">
        <f>(K644/K612)*P75</f>
        <v>1198132.5801326232</v>
      </c>
      <c r="L681" s="180">
        <f>(L647/L612)*P80</f>
        <v>333278.2589586071</v>
      </c>
      <c r="M681" s="180">
        <f t="shared" si="20"/>
        <v>1603476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24850</v>
      </c>
      <c r="D682" s="180">
        <f>(D615/D612)*Q76</f>
        <v>0</v>
      </c>
      <c r="E682" s="180">
        <f>(E623/E612)*SUM(C682:D682)</f>
        <v>703.5921871158273</v>
      </c>
      <c r="F682" s="180">
        <f>(F624/F612)*Q64</f>
        <v>1119.7669453230374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102870.27275135422</v>
      </c>
      <c r="L682" s="180">
        <f>(L647/L612)*Q80</f>
        <v>0</v>
      </c>
      <c r="M682" s="180">
        <f t="shared" si="20"/>
        <v>104694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621996</v>
      </c>
      <c r="D683" s="180">
        <f>(D615/D612)*R76</f>
        <v>0</v>
      </c>
      <c r="E683" s="180">
        <f>(E623/E612)*SUM(C683:D683)</f>
        <v>17610.926600293606</v>
      </c>
      <c r="F683" s="180">
        <f>(F624/F612)*R64</f>
        <v>5305.6379772669179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293999.26452282432</v>
      </c>
      <c r="L683" s="180">
        <f>(L647/L612)*R80</f>
        <v>0</v>
      </c>
      <c r="M683" s="180">
        <f t="shared" si="20"/>
        <v>316916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4558505</v>
      </c>
      <c r="D684" s="180">
        <f>(D615/D612)*S76</f>
        <v>-53823.989070834417</v>
      </c>
      <c r="E684" s="180">
        <f>(E623/E612)*SUM(C684:D684)</f>
        <v>127543.59616655079</v>
      </c>
      <c r="F684" s="180">
        <f>(F624/F612)*S64</f>
        <v>201147.13325849551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1196630.8355561758</v>
      </c>
      <c r="L684" s="180">
        <f>(L647/L612)*S80</f>
        <v>0</v>
      </c>
      <c r="M684" s="180">
        <f t="shared" si="20"/>
        <v>1471498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2631338</v>
      </c>
      <c r="D686" s="180">
        <f>(D615/D612)*U76</f>
        <v>-73311.34022156737</v>
      </c>
      <c r="E686" s="180">
        <f>(E623/E612)*SUM(C686:D686)</f>
        <v>72426.864074611731</v>
      </c>
      <c r="F686" s="180">
        <f>(F624/F612)*U64</f>
        <v>28366.739515011264</v>
      </c>
      <c r="G686" s="180">
        <f>(G625/G612)*U77</f>
        <v>0</v>
      </c>
      <c r="H686" s="180">
        <f>(H628/H612)*U60</f>
        <v>83450.034366487685</v>
      </c>
      <c r="I686" s="180">
        <f>(I629/I612)*U78</f>
        <v>41973.163089950984</v>
      </c>
      <c r="J686" s="180">
        <f>(J630/J612)*U79</f>
        <v>6431.5432754434441</v>
      </c>
      <c r="K686" s="180">
        <f>(K644/K612)*U75</f>
        <v>801261.2945295627</v>
      </c>
      <c r="L686" s="180">
        <f>(L647/L612)*U80</f>
        <v>0</v>
      </c>
      <c r="M686" s="180">
        <f t="shared" si="20"/>
        <v>960598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7151</v>
      </c>
      <c r="D687" s="180">
        <f>(D615/D612)*V76</f>
        <v>-11557.757208400162</v>
      </c>
      <c r="E687" s="180">
        <f>(E623/E612)*SUM(C687:D687)</f>
        <v>-124.77102383688964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21006.511821846314</v>
      </c>
      <c r="J687" s="180">
        <f>(J630/J612)*V79</f>
        <v>0</v>
      </c>
      <c r="K687" s="180">
        <f>(K644/K612)*V75</f>
        <v>36401.536052333919</v>
      </c>
      <c r="L687" s="180">
        <f>(L647/L612)*V80</f>
        <v>0</v>
      </c>
      <c r="M687" s="180">
        <f t="shared" si="20"/>
        <v>45726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567098</v>
      </c>
      <c r="D688" s="180">
        <f>(D615/D612)*W76</f>
        <v>-18851.487485545898</v>
      </c>
      <c r="E688" s="180">
        <f>(E623/E612)*SUM(C688:D688)</f>
        <v>15522.815405177847</v>
      </c>
      <c r="F688" s="180">
        <f>(F624/F612)*W64</f>
        <v>461.63773003564415</v>
      </c>
      <c r="G688" s="180">
        <f>(G625/G612)*W77</f>
        <v>0</v>
      </c>
      <c r="H688" s="180">
        <f>(H628/H612)*W60</f>
        <v>16067.000722820812</v>
      </c>
      <c r="I688" s="180">
        <f>(I629/I612)*W78</f>
        <v>21006.511821846314</v>
      </c>
      <c r="J688" s="180">
        <f>(J630/J612)*W79</f>
        <v>0</v>
      </c>
      <c r="K688" s="180">
        <f>(K644/K612)*W75</f>
        <v>420559.11389210005</v>
      </c>
      <c r="L688" s="180">
        <f>(L647/L612)*W80</f>
        <v>0</v>
      </c>
      <c r="M688" s="180">
        <f t="shared" si="20"/>
        <v>454766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268899</v>
      </c>
      <c r="D689" s="180">
        <f>(D615/D612)*X76</f>
        <v>-19524.754895743965</v>
      </c>
      <c r="E689" s="180">
        <f>(E623/E612)*SUM(C689:D689)</f>
        <v>7060.6748701513834</v>
      </c>
      <c r="F689" s="180">
        <f>(F624/F612)*X64</f>
        <v>910.35383419819186</v>
      </c>
      <c r="G689" s="180">
        <f>(G625/G612)*X77</f>
        <v>0</v>
      </c>
      <c r="H689" s="180">
        <f>(H628/H612)*X60</f>
        <v>4590.5716350916609</v>
      </c>
      <c r="I689" s="180">
        <f>(I629/I612)*X78</f>
        <v>21006.511821846314</v>
      </c>
      <c r="J689" s="180">
        <f>(J630/J612)*X79</f>
        <v>0</v>
      </c>
      <c r="K689" s="180">
        <f>(K644/K612)*X75</f>
        <v>606429.69185188017</v>
      </c>
      <c r="L689" s="180">
        <f>(L647/L612)*X80</f>
        <v>0</v>
      </c>
      <c r="M689" s="180">
        <f t="shared" si="20"/>
        <v>620473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2946082</v>
      </c>
      <c r="D690" s="180">
        <f>(D615/D612)*Y76</f>
        <v>-169588.57987989107</v>
      </c>
      <c r="E690" s="180">
        <f>(E623/E612)*SUM(C690:D690)</f>
        <v>78612.437745473275</v>
      </c>
      <c r="F690" s="180">
        <f>(F624/F612)*Y64</f>
        <v>7352.681028394195</v>
      </c>
      <c r="G690" s="180">
        <f>(G625/G612)*Y77</f>
        <v>0</v>
      </c>
      <c r="H690" s="180">
        <f>(H628/H612)*Y60</f>
        <v>113343.39965690601</v>
      </c>
      <c r="I690" s="180">
        <f>(I629/I612)*Y78</f>
        <v>52496.349277744965</v>
      </c>
      <c r="J690" s="180">
        <f>(J630/J612)*Y79</f>
        <v>8575.9058250780272</v>
      </c>
      <c r="K690" s="180">
        <f>(K644/K612)*Y75</f>
        <v>732336.78514978779</v>
      </c>
      <c r="L690" s="180">
        <f>(L647/L612)*Y80</f>
        <v>0</v>
      </c>
      <c r="M690" s="180">
        <f t="shared" si="20"/>
        <v>823129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883989</v>
      </c>
      <c r="D692" s="180">
        <f>(D615/D612)*AA76</f>
        <v>-11408.142228356148</v>
      </c>
      <c r="E692" s="180">
        <f>(E623/E612)*SUM(C692:D692)</f>
        <v>24705.878235611894</v>
      </c>
      <c r="F692" s="180">
        <f>(F624/F612)*AA64</f>
        <v>10986.462949190756</v>
      </c>
      <c r="G692" s="180">
        <f>(G625/G612)*AA77</f>
        <v>0</v>
      </c>
      <c r="H692" s="180">
        <f>(H628/H612)*AA60</f>
        <v>10929.932464503954</v>
      </c>
      <c r="I692" s="180">
        <f>(I629/I612)*AA78</f>
        <v>2670.6571006901386</v>
      </c>
      <c r="J692" s="180">
        <f>(J630/J612)*AA79</f>
        <v>0</v>
      </c>
      <c r="K692" s="180">
        <f>(K644/K612)*AA75</f>
        <v>192946.76427662038</v>
      </c>
      <c r="L692" s="180">
        <f>(L647/L612)*AA80</f>
        <v>0</v>
      </c>
      <c r="M692" s="180">
        <f t="shared" si="20"/>
        <v>230832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4477623</v>
      </c>
      <c r="D693" s="180">
        <f>(D615/D612)*AB76</f>
        <v>-29324.536088626952</v>
      </c>
      <c r="E693" s="180">
        <f>(E623/E612)*SUM(C693:D693)</f>
        <v>125947.20503691661</v>
      </c>
      <c r="F693" s="180">
        <f>(F624/F612)*AB64</f>
        <v>151270.20920154746</v>
      </c>
      <c r="G693" s="180">
        <f>(G625/G612)*AB77</f>
        <v>0</v>
      </c>
      <c r="H693" s="180">
        <f>(H628/H612)*AB60</f>
        <v>32735.147731189343</v>
      </c>
      <c r="I693" s="180">
        <f>(I629/I612)*AB78</f>
        <v>6816.1546898211009</v>
      </c>
      <c r="J693" s="180">
        <f>(J630/J612)*AB79</f>
        <v>0</v>
      </c>
      <c r="K693" s="180">
        <f>(K644/K612)*AB75</f>
        <v>1255097.3310961598</v>
      </c>
      <c r="L693" s="180">
        <f>(L647/L612)*AB80</f>
        <v>0</v>
      </c>
      <c r="M693" s="180">
        <f t="shared" si="20"/>
        <v>1542542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1129274</v>
      </c>
      <c r="D694" s="180">
        <f>(D615/D612)*AC76</f>
        <v>-46268.432578611653</v>
      </c>
      <c r="E694" s="180">
        <f>(E623/E612)*SUM(C694:D694)</f>
        <v>30663.752750126041</v>
      </c>
      <c r="F694" s="180">
        <f>(F624/F612)*AC64</f>
        <v>1865.9103667353654</v>
      </c>
      <c r="G694" s="180">
        <f>(G625/G612)*AC77</f>
        <v>0</v>
      </c>
      <c r="H694" s="180">
        <f>(H628/H612)*AC60</f>
        <v>57272.84611400072</v>
      </c>
      <c r="I694" s="180">
        <f>(I629/I612)*AC78</f>
        <v>10802.210063985487</v>
      </c>
      <c r="J694" s="180">
        <f>(J630/J612)*AC79</f>
        <v>0</v>
      </c>
      <c r="K694" s="180">
        <f>(K644/K612)*AC75</f>
        <v>235881.3857619029</v>
      </c>
      <c r="L694" s="180">
        <f>(L647/L612)*AC80</f>
        <v>0</v>
      </c>
      <c r="M694" s="180">
        <f t="shared" si="20"/>
        <v>290218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4169056</v>
      </c>
      <c r="D696" s="180">
        <f>(D615/D612)*AE76</f>
        <v>-326759.11641612888</v>
      </c>
      <c r="E696" s="180">
        <f>(E623/E612)*SUM(C696:D696)</f>
        <v>108789.13754000414</v>
      </c>
      <c r="F696" s="180">
        <f>(F624/F612)*AE64</f>
        <v>2950.5452047023682</v>
      </c>
      <c r="G696" s="180">
        <f>(G625/G612)*AE77</f>
        <v>0</v>
      </c>
      <c r="H696" s="180">
        <f>(H628/H612)*AE60</f>
        <v>211384.8938635065</v>
      </c>
      <c r="I696" s="180">
        <f>(I629/I612)*AE78</f>
        <v>104952.83800174829</v>
      </c>
      <c r="J696" s="180">
        <f>(J630/J612)*AE79</f>
        <v>42332.048733711737</v>
      </c>
      <c r="K696" s="180">
        <f>(K644/K612)*AE75</f>
        <v>319116.7363052193</v>
      </c>
      <c r="L696" s="180">
        <f>(L647/L612)*AE80</f>
        <v>0</v>
      </c>
      <c r="M696" s="180">
        <f t="shared" si="20"/>
        <v>462767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6204542</v>
      </c>
      <c r="D698" s="180">
        <f>(D615/D612)*AG76</f>
        <v>-239870.21675556715</v>
      </c>
      <c r="E698" s="180">
        <f>(E623/E612)*SUM(C698:D698)</f>
        <v>168881.14548897432</v>
      </c>
      <c r="F698" s="180">
        <f>(F624/F612)*AG64</f>
        <v>5920.6337937323733</v>
      </c>
      <c r="G698" s="180">
        <f>(G625/G612)*AG77</f>
        <v>34262.681717613719</v>
      </c>
      <c r="H698" s="180">
        <f>(H628/H612)*AG60</f>
        <v>161981.5991239486</v>
      </c>
      <c r="I698" s="180">
        <f>(I629/I612)*AG78</f>
        <v>115476.02418954227</v>
      </c>
      <c r="J698" s="180">
        <f>(J630/J612)*AG79</f>
        <v>38590.031839390824</v>
      </c>
      <c r="K698" s="180">
        <f>(K644/K612)*AG75</f>
        <v>838936.10354004963</v>
      </c>
      <c r="L698" s="180">
        <f>(L647/L612)*AG80</f>
        <v>205405.81242607944</v>
      </c>
      <c r="M698" s="180">
        <f t="shared" si="20"/>
        <v>1329584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102459</v>
      </c>
      <c r="D701" s="180">
        <f>(D615/D612)*AJ76</f>
        <v>-37403.745011003761</v>
      </c>
      <c r="E701" s="180">
        <f>(E623/E612)*SUM(C701:D701)</f>
        <v>1841.9464443092836</v>
      </c>
      <c r="F701" s="180">
        <f>(F624/F612)*AJ64</f>
        <v>0</v>
      </c>
      <c r="G701" s="180">
        <f>(G625/G612)*AJ77</f>
        <v>0</v>
      </c>
      <c r="H701" s="180">
        <f>(H628/H612)*AJ60</f>
        <v>3606.8777132863052</v>
      </c>
      <c r="I701" s="180">
        <f>(I629/I612)*AJ78</f>
        <v>0</v>
      </c>
      <c r="J701" s="180">
        <f>(J630/J612)*AJ79</f>
        <v>0</v>
      </c>
      <c r="K701" s="180">
        <f>(K644/K612)*AJ75</f>
        <v>8692.7611342547698</v>
      </c>
      <c r="L701" s="180">
        <f>(L647/L612)*AJ80</f>
        <v>0</v>
      </c>
      <c r="M701" s="180">
        <f t="shared" si="20"/>
        <v>-23262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947831</v>
      </c>
      <c r="D707" s="180">
        <f>(D615/D612)*AP76</f>
        <v>0</v>
      </c>
      <c r="E707" s="180">
        <f>(E623/E612)*SUM(C707:D707)</f>
        <v>26836.478322180348</v>
      </c>
      <c r="F707" s="180">
        <f>(F624/F612)*AP64</f>
        <v>7259.7464878620667</v>
      </c>
      <c r="G707" s="180">
        <f>(G625/G612)*AP77</f>
        <v>0</v>
      </c>
      <c r="H707" s="180">
        <f>(H628/H612)*AP60</f>
        <v>0</v>
      </c>
      <c r="I707" s="180">
        <f>(I629/I612)*AP78</f>
        <v>31489.837455898651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65586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-125021</v>
      </c>
      <c r="D713" s="180">
        <f>(D615/D612)*AV76</f>
        <v>0</v>
      </c>
      <c r="E713" s="180">
        <f>(E623/E612)*SUM(C713:D713)</f>
        <v>-3539.7906971995108</v>
      </c>
      <c r="F713" s="180">
        <f>(F624/F612)*AV64</f>
        <v>195.01998337296214</v>
      </c>
      <c r="G713" s="180">
        <f>(G625/G612)*AV77</f>
        <v>0</v>
      </c>
      <c r="H713" s="180">
        <f>(H628/H612)*AV60</f>
        <v>10929.932464503954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7585</v>
      </c>
      <c r="N713" s="199" t="s">
        <v>741</v>
      </c>
    </row>
    <row r="715" spans="1:83" ht="12.65" customHeight="1" x14ac:dyDescent="0.35">
      <c r="C715" s="180">
        <f>SUM(C614:C647)+SUM(C668:C713)</f>
        <v>57568359</v>
      </c>
      <c r="D715" s="180">
        <f>SUM(D616:D647)+SUM(D668:D713)</f>
        <v>-4011028</v>
      </c>
      <c r="E715" s="180">
        <f>SUM(E624:E647)+SUM(E668:E713)</f>
        <v>1585086.2501398784</v>
      </c>
      <c r="F715" s="180">
        <f>SUM(F625:F648)+SUM(F668:F713)</f>
        <v>525888.65232005133</v>
      </c>
      <c r="G715" s="180">
        <f>SUM(G626:G647)+SUM(G668:G713)</f>
        <v>1488766.2990287924</v>
      </c>
      <c r="H715" s="180">
        <f>SUM(H629:H647)+SUM(H668:H713)</f>
        <v>1672443.6160560728</v>
      </c>
      <c r="I715" s="180">
        <f>SUM(I630:I647)+SUM(I668:I713)</f>
        <v>887853.97404137533</v>
      </c>
      <c r="J715" s="180">
        <f>SUM(J631:J647)+SUM(J668:J713)</f>
        <v>231970.29904504007</v>
      </c>
      <c r="K715" s="180">
        <f>SUM(K668:K713)</f>
        <v>9075999.2309689354</v>
      </c>
      <c r="L715" s="180">
        <f>SUM(L668:L713)</f>
        <v>1102664.5355840388</v>
      </c>
      <c r="M715" s="180">
        <f>SUM(M668:M713)</f>
        <v>12270435</v>
      </c>
      <c r="N715" s="198" t="s">
        <v>742</v>
      </c>
    </row>
    <row r="716" spans="1:83" ht="12.65" customHeight="1" x14ac:dyDescent="0.35">
      <c r="C716" s="180">
        <f>CE71</f>
        <v>57568359</v>
      </c>
      <c r="D716" s="180">
        <f>D615</f>
        <v>-4011028</v>
      </c>
      <c r="E716" s="180">
        <f>E623</f>
        <v>1585086.2501398784</v>
      </c>
      <c r="F716" s="180">
        <f>F624</f>
        <v>525888.65232005133</v>
      </c>
      <c r="G716" s="180">
        <f>G625</f>
        <v>1488766.2990287922</v>
      </c>
      <c r="H716" s="180">
        <f>H628</f>
        <v>1672443.6160560735</v>
      </c>
      <c r="I716" s="180">
        <f>I629</f>
        <v>887853.97404137533</v>
      </c>
      <c r="J716" s="180">
        <f>J630</f>
        <v>231970.2990450401</v>
      </c>
      <c r="K716" s="180">
        <f>K644</f>
        <v>9075999.2309689354</v>
      </c>
      <c r="L716" s="180">
        <f>L647</f>
        <v>1102664.5355840388</v>
      </c>
      <c r="M716" s="180">
        <f>C648</f>
        <v>12270432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172*2021*A</v>
      </c>
      <c r="B722" s="275">
        <f>ROUND(C165,0)</f>
        <v>2148390</v>
      </c>
      <c r="C722" s="275">
        <f>ROUND(C166,0)</f>
        <v>82592</v>
      </c>
      <c r="D722" s="275">
        <f>ROUND(C167,0)</f>
        <v>146254</v>
      </c>
      <c r="E722" s="275">
        <f>ROUND(C168,0)</f>
        <v>3618146</v>
      </c>
      <c r="F722" s="275">
        <f>ROUND(C169,0)</f>
        <v>12596</v>
      </c>
      <c r="G722" s="275">
        <f>ROUND(C170,0)</f>
        <v>967674</v>
      </c>
      <c r="H722" s="275">
        <f>ROUND(C171+C172,0)</f>
        <v>604928</v>
      </c>
      <c r="I722" s="275">
        <f>ROUND(C175,0)</f>
        <v>137586</v>
      </c>
      <c r="J722" s="275">
        <f>ROUND(C176,0)</f>
        <v>465393</v>
      </c>
      <c r="K722" s="275">
        <f>ROUND(C179,0)</f>
        <v>177060</v>
      </c>
      <c r="L722" s="275">
        <f>ROUND(C180,0)</f>
        <v>147749</v>
      </c>
      <c r="M722" s="275">
        <f>ROUND(C183,0)</f>
        <v>4568</v>
      </c>
      <c r="N722" s="275">
        <f>ROUND(C184,0)</f>
        <v>688112</v>
      </c>
      <c r="O722" s="275">
        <f>ROUND(C185,0)</f>
        <v>0</v>
      </c>
      <c r="P722" s="275">
        <f>ROUND(C188,0)</f>
        <v>506598</v>
      </c>
      <c r="Q722" s="275">
        <f>ROUND(C189,0)</f>
        <v>959</v>
      </c>
      <c r="R722" s="275">
        <f>ROUND(B195,0)</f>
        <v>1813305</v>
      </c>
      <c r="S722" s="275">
        <f>ROUND(C195,0)</f>
        <v>0</v>
      </c>
      <c r="T722" s="275">
        <f>ROUND(D195,0)</f>
        <v>0</v>
      </c>
      <c r="U722" s="275">
        <f>ROUND(B196,0)</f>
        <v>3741283</v>
      </c>
      <c r="V722" s="275">
        <f>ROUND(C196,0)</f>
        <v>0</v>
      </c>
      <c r="W722" s="275">
        <f>ROUND(D196,0)</f>
        <v>47810</v>
      </c>
      <c r="X722" s="275">
        <f>ROUND(B197,0)</f>
        <v>17930955</v>
      </c>
      <c r="Y722" s="275">
        <f>ROUND(C197,0)</f>
        <v>1095339</v>
      </c>
      <c r="Z722" s="275">
        <f>ROUND(D197,0)</f>
        <v>523018</v>
      </c>
      <c r="AA722" s="275">
        <f>ROUND(B198,0)</f>
        <v>15339337</v>
      </c>
      <c r="AB722" s="275">
        <f>ROUND(C198,0)</f>
        <v>482573</v>
      </c>
      <c r="AC722" s="275">
        <f>ROUND(D198,0)</f>
        <v>28382</v>
      </c>
      <c r="AD722" s="275">
        <f>ROUND(B199,0)</f>
        <v>1111042</v>
      </c>
      <c r="AE722" s="275">
        <f>ROUND(C199,0)</f>
        <v>0</v>
      </c>
      <c r="AF722" s="275">
        <f>ROUND(D199,0)</f>
        <v>55152</v>
      </c>
      <c r="AG722" s="275">
        <f>ROUND(B200,0)</f>
        <v>15714511</v>
      </c>
      <c r="AH722" s="275">
        <f>ROUND(C200,0)</f>
        <v>723591</v>
      </c>
      <c r="AI722" s="275">
        <f>ROUND(D200,0)</f>
        <v>785667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1148208</v>
      </c>
      <c r="AQ722" s="275">
        <f>ROUND(C203,0)</f>
        <v>434773</v>
      </c>
      <c r="AR722" s="275">
        <f>ROUND(D203,0)</f>
        <v>1511833</v>
      </c>
      <c r="AS722" s="275"/>
      <c r="AT722" s="275"/>
      <c r="AU722" s="275"/>
      <c r="AV722" s="275">
        <f>ROUND(B209,0)</f>
        <v>1858766</v>
      </c>
      <c r="AW722" s="275">
        <f>ROUND(C209,0)</f>
        <v>104222</v>
      </c>
      <c r="AX722" s="275">
        <f>ROUND(D209,0)</f>
        <v>47810</v>
      </c>
      <c r="AY722" s="275">
        <f>ROUND(B210,0)</f>
        <v>4697415</v>
      </c>
      <c r="AZ722" s="275">
        <f>ROUND(C210,0)</f>
        <v>751965</v>
      </c>
      <c r="BA722" s="275">
        <f>ROUND(D210,0)</f>
        <v>522951</v>
      </c>
      <c r="BB722" s="275">
        <f>ROUND(B211,0)</f>
        <v>11885210</v>
      </c>
      <c r="BC722" s="275">
        <f>ROUND(C211,0)</f>
        <v>492229</v>
      </c>
      <c r="BD722" s="275">
        <f>ROUND(D211,0)</f>
        <v>28384</v>
      </c>
      <c r="BE722" s="275">
        <f>ROUND(B212,0)</f>
        <v>965193</v>
      </c>
      <c r="BF722" s="275">
        <f>ROUND(C212,0)</f>
        <v>14303</v>
      </c>
      <c r="BG722" s="275">
        <f>ROUND(D212,0)</f>
        <v>55152</v>
      </c>
      <c r="BH722" s="275">
        <f>ROUND(B213,0)</f>
        <v>11067202</v>
      </c>
      <c r="BI722" s="275">
        <f>ROUND(C213,0)</f>
        <v>1423515</v>
      </c>
      <c r="BJ722" s="275">
        <f>ROUND(D213,0)</f>
        <v>784763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23393383</v>
      </c>
      <c r="BU722" s="275">
        <f>ROUND(C224,0)</f>
        <v>7143453</v>
      </c>
      <c r="BV722" s="275">
        <f>ROUND(C225,0)</f>
        <v>758000</v>
      </c>
      <c r="BW722" s="275">
        <f>ROUND(C226,0)</f>
        <v>569160</v>
      </c>
      <c r="BX722" s="275">
        <f>ROUND(C227,0)</f>
        <v>0</v>
      </c>
      <c r="BY722" s="275">
        <f>ROUND(C228,0)</f>
        <v>23540432</v>
      </c>
      <c r="BZ722" s="275">
        <f>ROUND(C231,0)</f>
        <v>529</v>
      </c>
      <c r="CA722" s="275">
        <f>ROUND(C233,0)</f>
        <v>156137</v>
      </c>
      <c r="CB722" s="275">
        <f>ROUND(C234,0)</f>
        <v>633821</v>
      </c>
      <c r="CC722" s="275">
        <f>ROUND(C238+C239,0)</f>
        <v>1323679</v>
      </c>
      <c r="CD722" s="275">
        <f>D221</f>
        <v>2093459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172*2021*A</v>
      </c>
      <c r="B726" s="275">
        <f>ROUND(C111,0)</f>
        <v>1044</v>
      </c>
      <c r="C726" s="275">
        <f>ROUND(C112,0)</f>
        <v>12</v>
      </c>
      <c r="D726" s="275">
        <f>ROUND(C113,0)</f>
        <v>0</v>
      </c>
      <c r="E726" s="275">
        <f>ROUND(C114,0)</f>
        <v>354</v>
      </c>
      <c r="F726" s="275">
        <f>ROUND(D111,0)</f>
        <v>3074</v>
      </c>
      <c r="G726" s="275">
        <f>ROUND(D112,0)</f>
        <v>165</v>
      </c>
      <c r="H726" s="275">
        <f>ROUND(D113,0)</f>
        <v>0</v>
      </c>
      <c r="I726" s="275">
        <f>ROUND(D114,0)</f>
        <v>652</v>
      </c>
      <c r="J726" s="275">
        <f>ROUND(C116,0)</f>
        <v>2</v>
      </c>
      <c r="K726" s="275">
        <f>ROUND(C117,0)</f>
        <v>0</v>
      </c>
      <c r="L726" s="275">
        <f>ROUND(C118,0)</f>
        <v>13</v>
      </c>
      <c r="M726" s="275">
        <f>ROUND(C119,0)</f>
        <v>0</v>
      </c>
      <c r="N726" s="275">
        <f>ROUND(C120,0)</f>
        <v>8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2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42</v>
      </c>
      <c r="W726" s="275">
        <f>ROUND(C129,0)</f>
        <v>8</v>
      </c>
      <c r="X726" s="275">
        <f>ROUND(B138,0)</f>
        <v>419</v>
      </c>
      <c r="Y726" s="275">
        <f>ROUND(B139,0)</f>
        <v>1308</v>
      </c>
      <c r="Z726" s="275">
        <f>ROUND(B140,0)</f>
        <v>21545</v>
      </c>
      <c r="AA726" s="275">
        <f>ROUND(B141,0)</f>
        <v>13854229</v>
      </c>
      <c r="AB726" s="275">
        <f>ROUND(B142,0)</f>
        <v>32782704</v>
      </c>
      <c r="AC726" s="275">
        <f>ROUND(C138,0)</f>
        <v>241</v>
      </c>
      <c r="AD726" s="275">
        <f>ROUND(C139,0)</f>
        <v>612</v>
      </c>
      <c r="AE726" s="275">
        <f>ROUND(C140,0)</f>
        <v>9572</v>
      </c>
      <c r="AF726" s="275">
        <f>ROUND(C141,0)</f>
        <v>3430669</v>
      </c>
      <c r="AG726" s="275">
        <f>ROUND(C142,0)</f>
        <v>12154969</v>
      </c>
      <c r="AH726" s="275">
        <f>ROUND(D138,0)</f>
        <v>384</v>
      </c>
      <c r="AI726" s="275">
        <f>ROUND(D139,0)</f>
        <v>1154</v>
      </c>
      <c r="AJ726" s="275">
        <f>ROUND(D140,0)</f>
        <v>44796</v>
      </c>
      <c r="AK726" s="275">
        <f>ROUND(D141,0)</f>
        <v>10281513</v>
      </c>
      <c r="AL726" s="275">
        <f>ROUND(D142,0)</f>
        <v>57069536</v>
      </c>
      <c r="AM726" s="275">
        <f>ROUND(B144,0)</f>
        <v>11</v>
      </c>
      <c r="AN726" s="275">
        <f>ROUND(B145,0)</f>
        <v>164</v>
      </c>
      <c r="AO726" s="275">
        <f>ROUND(B146,0)</f>
        <v>0</v>
      </c>
      <c r="AP726" s="275">
        <f>ROUND(B147,0)</f>
        <v>206197</v>
      </c>
      <c r="AQ726" s="275">
        <f>ROUND(B148,0)</f>
        <v>0</v>
      </c>
      <c r="AR726" s="275">
        <f>ROUND(C144,0)</f>
        <v>1</v>
      </c>
      <c r="AS726" s="275">
        <f>ROUND(C145,0)</f>
        <v>1</v>
      </c>
      <c r="AT726" s="275">
        <f>ROUND(C146,0)</f>
        <v>0</v>
      </c>
      <c r="AU726" s="275">
        <f>ROUND(C147,0)</f>
        <v>1246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5747633</v>
      </c>
      <c r="BR726" s="275">
        <f>ROUND(C157,0)</f>
        <v>5973642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172*2021*A</v>
      </c>
      <c r="B730" s="275">
        <f>ROUND(C250,0)</f>
        <v>10181956</v>
      </c>
      <c r="C730" s="275">
        <f>ROUND(C251,0)</f>
        <v>0</v>
      </c>
      <c r="D730" s="275">
        <f>ROUND(C252,0)</f>
        <v>18553644</v>
      </c>
      <c r="E730" s="275">
        <f>ROUND(C253,0)</f>
        <v>10900818</v>
      </c>
      <c r="F730" s="275">
        <f>ROUND(C254,0)</f>
        <v>43584</v>
      </c>
      <c r="G730" s="275">
        <f>ROUND(C255,0)</f>
        <v>875749</v>
      </c>
      <c r="H730" s="275">
        <f>ROUND(C256,0)</f>
        <v>0</v>
      </c>
      <c r="I730" s="275">
        <f>ROUND(C257,0)</f>
        <v>2082242</v>
      </c>
      <c r="J730" s="275">
        <f>ROUND(C258,0)</f>
        <v>965711</v>
      </c>
      <c r="K730" s="275">
        <f>ROUND(C259,0)</f>
        <v>0</v>
      </c>
      <c r="L730" s="275">
        <f>ROUND(C262,0)</f>
        <v>24670769</v>
      </c>
      <c r="M730" s="275">
        <f>ROUND(C263,0)</f>
        <v>0</v>
      </c>
      <c r="N730" s="275">
        <f>ROUND(C264,0)</f>
        <v>0</v>
      </c>
      <c r="O730" s="275">
        <f>ROUND(C267,0)</f>
        <v>1813305</v>
      </c>
      <c r="P730" s="275">
        <f>ROUND(C268,0)</f>
        <v>3693473</v>
      </c>
      <c r="Q730" s="275">
        <f>ROUND(C269,0)</f>
        <v>18503275</v>
      </c>
      <c r="R730" s="275">
        <f>ROUND(C270,0)</f>
        <v>15793528</v>
      </c>
      <c r="S730" s="275">
        <f>ROUND(C271,0)</f>
        <v>1055891</v>
      </c>
      <c r="T730" s="275">
        <f>ROUND(C272,0)</f>
        <v>15652435</v>
      </c>
      <c r="U730" s="275">
        <f>ROUND(C273,0)</f>
        <v>0</v>
      </c>
      <c r="V730" s="275">
        <f>ROUND(C274,0)</f>
        <v>71148</v>
      </c>
      <c r="W730" s="275">
        <f>ROUND(C275,0)</f>
        <v>0</v>
      </c>
      <c r="X730" s="275">
        <f>ROUND(C276,0)</f>
        <v>31820960</v>
      </c>
      <c r="Y730" s="275">
        <f>ROUND(C279,0)</f>
        <v>0</v>
      </c>
      <c r="Z730" s="275">
        <f>ROUND(C280,0)</f>
        <v>0</v>
      </c>
      <c r="AA730" s="275">
        <f>ROUND(C281,0)</f>
        <v>536983</v>
      </c>
      <c r="AB730" s="275">
        <f>ROUND(C282,0)</f>
        <v>-300000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2302675</v>
      </c>
      <c r="AI730" s="275">
        <f>ROUND(C306,0)</f>
        <v>3567948</v>
      </c>
      <c r="AJ730" s="275">
        <f>ROUND(C307,0)</f>
        <v>0</v>
      </c>
      <c r="AK730" s="275">
        <f>ROUND(C308,0)</f>
        <v>0</v>
      </c>
      <c r="AL730" s="275">
        <f>ROUND(C309,0)</f>
        <v>-192000</v>
      </c>
      <c r="AM730" s="275">
        <f>ROUND(C310,0)</f>
        <v>0</v>
      </c>
      <c r="AN730" s="275">
        <f>ROUND(C311,0)</f>
        <v>0</v>
      </c>
      <c r="AO730" s="275">
        <f>ROUND(C312,0)</f>
        <v>258676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799475</v>
      </c>
      <c r="AX730" s="275">
        <f>ROUND(C325,0)</f>
        <v>11608141</v>
      </c>
      <c r="AY730" s="275">
        <f>ROUND(C326,0)</f>
        <v>0</v>
      </c>
      <c r="AZ730" s="275">
        <f>ROUND(C327,0)</f>
        <v>10079801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43047199</v>
      </c>
      <c r="BF730" s="275">
        <f>ROUND(C336,0)</f>
        <v>0</v>
      </c>
      <c r="BG730" s="275"/>
      <c r="BH730" s="275"/>
      <c r="BI730" s="275">
        <f>ROUND(CE60,2)</f>
        <v>351.8</v>
      </c>
      <c r="BJ730" s="275">
        <f>ROUND(C359,0)</f>
        <v>27773854</v>
      </c>
      <c r="BK730" s="275">
        <f>ROUND(C360,0)</f>
        <v>102007209</v>
      </c>
      <c r="BL730" s="275">
        <f>ROUND(C364,0)</f>
        <v>55404428</v>
      </c>
      <c r="BM730" s="275">
        <f>ROUND(C365,0)</f>
        <v>789958</v>
      </c>
      <c r="BN730" s="275">
        <f>ROUND(C366,0)</f>
        <v>1323679</v>
      </c>
      <c r="BO730" s="275">
        <f>ROUND(C370,0)</f>
        <v>8399492</v>
      </c>
      <c r="BP730" s="275">
        <f>ROUND(C371,0)</f>
        <v>1239883</v>
      </c>
      <c r="BQ730" s="275">
        <f>ROUND(C378,0)</f>
        <v>31519203</v>
      </c>
      <c r="BR730" s="275">
        <f>ROUND(C379,0)</f>
        <v>7580580</v>
      </c>
      <c r="BS730" s="275">
        <f>ROUND(C380,0)</f>
        <v>5343108</v>
      </c>
      <c r="BT730" s="275">
        <f>ROUND(C381,0)</f>
        <v>11471442</v>
      </c>
      <c r="BU730" s="275">
        <f>ROUND(C382,0)</f>
        <v>749575</v>
      </c>
      <c r="BV730" s="275">
        <f>ROUND(C383,0)</f>
        <v>3560333</v>
      </c>
      <c r="BW730" s="275">
        <f>ROUND(C384,0)</f>
        <v>2786234</v>
      </c>
      <c r="BX730" s="275">
        <f>ROUND(C385,0)</f>
        <v>602979</v>
      </c>
      <c r="BY730" s="275">
        <f>ROUND(C386,0)</f>
        <v>324809</v>
      </c>
      <c r="BZ730" s="275">
        <f>ROUND(C387,0)</f>
        <v>692680</v>
      </c>
      <c r="CA730" s="275">
        <f>ROUND(C388,0)</f>
        <v>507557</v>
      </c>
      <c r="CB730" s="275">
        <f>C363</f>
        <v>2093459</v>
      </c>
      <c r="CC730" s="275">
        <f>ROUND(C389,0)</f>
        <v>829351</v>
      </c>
      <c r="CD730" s="275">
        <f>ROUND(C392,0)</f>
        <v>-2766156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172*2021*6010*A</v>
      </c>
      <c r="B734" s="275">
        <f>ROUND(C59,0)</f>
        <v>683</v>
      </c>
      <c r="C734" s="275">
        <f>ROUND(C60,2)</f>
        <v>13.07</v>
      </c>
      <c r="D734" s="275">
        <f>ROUND(C61,0)</f>
        <v>1209996</v>
      </c>
      <c r="E734" s="275">
        <f>ROUND(C62,0)</f>
        <v>291012</v>
      </c>
      <c r="F734" s="275">
        <f>ROUND(C63,0)</f>
        <v>0</v>
      </c>
      <c r="G734" s="275">
        <f>ROUND(C64,0)</f>
        <v>58401</v>
      </c>
      <c r="H734" s="275">
        <f>ROUND(C65,0)</f>
        <v>480</v>
      </c>
      <c r="I734" s="275">
        <f>ROUND(C66,0)</f>
        <v>38465</v>
      </c>
      <c r="J734" s="275">
        <f>ROUND(C67,0)</f>
        <v>41752</v>
      </c>
      <c r="K734" s="275">
        <f>ROUND(C68,0)</f>
        <v>12620</v>
      </c>
      <c r="L734" s="275">
        <f>ROUND(C69,0)</f>
        <v>1485</v>
      </c>
      <c r="M734" s="275">
        <f>ROUND(C70,0)</f>
        <v>6400</v>
      </c>
      <c r="N734" s="275">
        <f>ROUND(C75,0)</f>
        <v>2474982</v>
      </c>
      <c r="O734" s="275">
        <f>ROUND(C73,0)</f>
        <v>1573253</v>
      </c>
      <c r="P734" s="275">
        <f>IF(C76&gt;0,ROUND(C76,0),0)</f>
        <v>1804</v>
      </c>
      <c r="Q734" s="275">
        <f>IF(C77&gt;0,ROUND(C77,0),0)</f>
        <v>4278</v>
      </c>
      <c r="R734" s="275">
        <f>IF(C78&gt;0,ROUND(C78,0),0)</f>
        <v>1317</v>
      </c>
      <c r="S734" s="275">
        <f>IF(C79&gt;0,ROUND(C79,0),0)</f>
        <v>16658</v>
      </c>
      <c r="T734" s="275">
        <f>IF(C80&gt;0,ROUND(C80,2),0)</f>
        <v>9.51</v>
      </c>
      <c r="U734" s="275"/>
      <c r="V734" s="275"/>
      <c r="W734" s="275"/>
      <c r="X734" s="275"/>
      <c r="Y734" s="275">
        <f>IF(M668&lt;&gt;0,ROUND(M668,0),0)</f>
        <v>512460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172*2021*6030*A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172*2021*6070*A</v>
      </c>
      <c r="B736" s="275">
        <f>ROUND(E59,0)</f>
        <v>2391</v>
      </c>
      <c r="C736" s="277">
        <f>ROUND(E60,2)</f>
        <v>26.52</v>
      </c>
      <c r="D736" s="275">
        <f>ROUND(E61,0)</f>
        <v>3094230</v>
      </c>
      <c r="E736" s="275">
        <f>ROUND(E62,0)</f>
        <v>744183</v>
      </c>
      <c r="F736" s="275">
        <f>ROUND(E63,0)</f>
        <v>104439</v>
      </c>
      <c r="G736" s="275">
        <f>ROUND(E64,0)</f>
        <v>80082</v>
      </c>
      <c r="H736" s="275">
        <f>ROUND(E65,0)</f>
        <v>0</v>
      </c>
      <c r="I736" s="275">
        <f>ROUND(E66,0)</f>
        <v>26597</v>
      </c>
      <c r="J736" s="275">
        <f>ROUND(E67,0)</f>
        <v>224797</v>
      </c>
      <c r="K736" s="275">
        <f>ROUND(E68,0)</f>
        <v>62012</v>
      </c>
      <c r="L736" s="275">
        <f>ROUND(E69,0)</f>
        <v>5696</v>
      </c>
      <c r="M736" s="275">
        <f>ROUND(E70,0)</f>
        <v>1452</v>
      </c>
      <c r="N736" s="275">
        <f>ROUND(E75,0)</f>
        <v>5977081</v>
      </c>
      <c r="O736" s="275">
        <f>ROUND(E73,0)</f>
        <v>2991517</v>
      </c>
      <c r="P736" s="275">
        <f>IF(E76&gt;0,ROUND(E76,0),0)</f>
        <v>9713</v>
      </c>
      <c r="Q736" s="275">
        <f>IF(E77&gt;0,ROUND(E77,0),0)</f>
        <v>7797</v>
      </c>
      <c r="R736" s="275">
        <f>IF(E78&gt;0,ROUND(E78,0),0)</f>
        <v>3687</v>
      </c>
      <c r="S736" s="275">
        <f>IF(E79&gt;0,ROUND(E79,0),0)</f>
        <v>49975</v>
      </c>
      <c r="T736" s="277">
        <f>IF(E80&gt;0,ROUND(E80,2),0)</f>
        <v>14.84</v>
      </c>
      <c r="U736" s="275"/>
      <c r="V736" s="276"/>
      <c r="W736" s="275"/>
      <c r="X736" s="275"/>
      <c r="Y736" s="275">
        <f t="shared" si="21"/>
        <v>871239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172*2021*6100*A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172*2021*6120*A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172*2021*6140*A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172*2021*6150*A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172*2021*6170*A</v>
      </c>
      <c r="B741" s="275">
        <f>ROUND(J59,0)</f>
        <v>652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462516</v>
      </c>
      <c r="O741" s="275">
        <f>ROUND(J73,0)</f>
        <v>462516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19435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47353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172*2021*6200*A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172*2021*6210*A</v>
      </c>
      <c r="B743" s="275">
        <f>ROUND(L59,0)</f>
        <v>165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207443</v>
      </c>
      <c r="O743" s="275">
        <f>ROUND(L73,0)</f>
        <v>207443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14507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172*2021*6330*A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172*2021*6400*A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172*2021*7010*A</v>
      </c>
      <c r="B746" s="275">
        <f>ROUND(O59,0)</f>
        <v>354</v>
      </c>
      <c r="C746" s="277">
        <f>ROUND(O60,2)</f>
        <v>19.649999999999999</v>
      </c>
      <c r="D746" s="275">
        <f>ROUND(O61,0)</f>
        <v>1878816</v>
      </c>
      <c r="E746" s="275">
        <f>ROUND(O62,0)</f>
        <v>451868</v>
      </c>
      <c r="F746" s="275">
        <f>ROUND(O63,0)</f>
        <v>2866</v>
      </c>
      <c r="G746" s="275">
        <f>ROUND(O64,0)</f>
        <v>104249</v>
      </c>
      <c r="H746" s="275">
        <f>ROUND(O65,0)</f>
        <v>480</v>
      </c>
      <c r="I746" s="275">
        <f>ROUND(O66,0)</f>
        <v>70309</v>
      </c>
      <c r="J746" s="275">
        <f>ROUND(O67,0)</f>
        <v>191655</v>
      </c>
      <c r="K746" s="275">
        <f>ROUND(O68,0)</f>
        <v>26509</v>
      </c>
      <c r="L746" s="275">
        <f>ROUND(O69,0)</f>
        <v>9530</v>
      </c>
      <c r="M746" s="275">
        <f>ROUND(O70,0)</f>
        <v>3675</v>
      </c>
      <c r="N746" s="275">
        <f>ROUND(O75,0)</f>
        <v>2842357</v>
      </c>
      <c r="O746" s="275">
        <f>ROUND(O73,0)</f>
        <v>2357986</v>
      </c>
      <c r="P746" s="275">
        <f>IF(O76&gt;0,ROUND(O76,0),0)</f>
        <v>8281</v>
      </c>
      <c r="Q746" s="275">
        <f>IF(O77&gt;0,ROUND(O77,0),0)</f>
        <v>4553</v>
      </c>
      <c r="R746" s="275">
        <f>IF(O78&gt;0,ROUND(O78,0),0)</f>
        <v>2897</v>
      </c>
      <c r="S746" s="275">
        <f>IF(O79&gt;0,ROUND(O79,0),0)</f>
        <v>38869</v>
      </c>
      <c r="T746" s="277">
        <f>IF(O80&gt;0,ROUND(O80,2),0)</f>
        <v>14.65</v>
      </c>
      <c r="U746" s="275"/>
      <c r="V746" s="276"/>
      <c r="W746" s="275"/>
      <c r="X746" s="275"/>
      <c r="Y746" s="275">
        <f t="shared" si="21"/>
        <v>517748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172*2021*7020*A</v>
      </c>
      <c r="B747" s="275">
        <f>ROUND(P59,0)</f>
        <v>216756</v>
      </c>
      <c r="C747" s="277">
        <f>ROUND(P60,2)</f>
        <v>44.5</v>
      </c>
      <c r="D747" s="275">
        <f>ROUND(P61,0)</f>
        <v>3945942</v>
      </c>
      <c r="E747" s="275">
        <f>ROUND(P62,0)</f>
        <v>949026</v>
      </c>
      <c r="F747" s="275">
        <f>ROUND(P63,0)</f>
        <v>3355</v>
      </c>
      <c r="G747" s="275">
        <f>ROUND(P64,0)</f>
        <v>1382548</v>
      </c>
      <c r="H747" s="275">
        <f>ROUND(P65,0)</f>
        <v>1920</v>
      </c>
      <c r="I747" s="275">
        <f>ROUND(P66,0)</f>
        <v>422633</v>
      </c>
      <c r="J747" s="275">
        <f>ROUND(P67,0)</f>
        <v>372919</v>
      </c>
      <c r="K747" s="275">
        <f>ROUND(P68,0)</f>
        <v>74723</v>
      </c>
      <c r="L747" s="275">
        <f>ROUND(P69,0)</f>
        <v>15077</v>
      </c>
      <c r="M747" s="275">
        <f>ROUND(P70,0)</f>
        <v>6890</v>
      </c>
      <c r="N747" s="275">
        <f>ROUND(P75,0)</f>
        <v>17132540</v>
      </c>
      <c r="O747" s="275">
        <f>ROUND(P73,0)</f>
        <v>4345536</v>
      </c>
      <c r="P747" s="275">
        <f>IF(P76&gt;0,ROUND(P76,0),0)</f>
        <v>16113</v>
      </c>
      <c r="Q747" s="275">
        <f>IF(P77&gt;0,ROUND(P77,0),0)</f>
        <v>2474</v>
      </c>
      <c r="R747" s="275">
        <f>IF(P78&gt;0,ROUND(P78,0),0)</f>
        <v>2370</v>
      </c>
      <c r="S747" s="275">
        <f>IF(P79&gt;0,ROUND(P79,0),0)</f>
        <v>49975</v>
      </c>
      <c r="T747" s="277">
        <f>IF(P80&gt;0,ROUND(P80,2),0)</f>
        <v>23.04</v>
      </c>
      <c r="U747" s="275"/>
      <c r="V747" s="276"/>
      <c r="W747" s="275"/>
      <c r="X747" s="275"/>
      <c r="Y747" s="275">
        <f t="shared" si="21"/>
        <v>1603476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172*2021*7030*A</v>
      </c>
      <c r="B748" s="275">
        <f>ROUND(Q59,0)</f>
        <v>99278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24351</v>
      </c>
      <c r="H748" s="275">
        <f>ROUND(Q65,0)</f>
        <v>0</v>
      </c>
      <c r="I748" s="275">
        <f>ROUND(Q66,0)</f>
        <v>499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1470980</v>
      </c>
      <c r="O748" s="275">
        <f>ROUND(Q73,0)</f>
        <v>379818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104694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172*2021*7040*A</v>
      </c>
      <c r="B749" s="275">
        <f>ROUND(R59,0)</f>
        <v>166440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506322</v>
      </c>
      <c r="G749" s="275">
        <f>ROUND(R64,0)</f>
        <v>115379</v>
      </c>
      <c r="H749" s="275">
        <f>ROUND(R65,0)</f>
        <v>0</v>
      </c>
      <c r="I749" s="275">
        <f>ROUND(R66,0)</f>
        <v>283</v>
      </c>
      <c r="J749" s="275">
        <f>ROUND(R67,0)</f>
        <v>0</v>
      </c>
      <c r="K749" s="275">
        <f>ROUND(R68,0)</f>
        <v>0</v>
      </c>
      <c r="L749" s="275">
        <f>ROUND(R69,0)</f>
        <v>12</v>
      </c>
      <c r="M749" s="275">
        <f>ROUND(R70,0)</f>
        <v>0</v>
      </c>
      <c r="N749" s="275">
        <f>ROUND(R75,0)</f>
        <v>4204004</v>
      </c>
      <c r="O749" s="275">
        <f>ROUND(R73,0)</f>
        <v>1164928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316916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172*2021*7050*A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1168</v>
      </c>
      <c r="G750" s="275">
        <f>ROUND(S64,0)</f>
        <v>4374244</v>
      </c>
      <c r="H750" s="275">
        <f>ROUND(S65,0)</f>
        <v>0</v>
      </c>
      <c r="I750" s="275">
        <f>ROUND(S66,0)</f>
        <v>0</v>
      </c>
      <c r="J750" s="275">
        <f>ROUND(S67,0)</f>
        <v>33304</v>
      </c>
      <c r="K750" s="275">
        <f>ROUND(S68,0)</f>
        <v>65608</v>
      </c>
      <c r="L750" s="275">
        <f>ROUND(S69,0)</f>
        <v>89926</v>
      </c>
      <c r="M750" s="275">
        <f>ROUND(S70,0)</f>
        <v>5745</v>
      </c>
      <c r="N750" s="275">
        <f>ROUND(S75,0)</f>
        <v>17111066</v>
      </c>
      <c r="O750" s="275">
        <f>ROUND(S73,0)</f>
        <v>6104570</v>
      </c>
      <c r="P750" s="275">
        <f>IF(S76&gt;0,ROUND(S76,0),0)</f>
        <v>1439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1471498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172*2021*7060*A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172*2021*7070*A</v>
      </c>
      <c r="B752" s="275">
        <f>ROUND(U59,0)</f>
        <v>110012</v>
      </c>
      <c r="C752" s="277">
        <f>ROUND(U60,2)</f>
        <v>15.27</v>
      </c>
      <c r="D752" s="275">
        <f>ROUND(U61,0)</f>
        <v>977248</v>
      </c>
      <c r="E752" s="275">
        <f>ROUND(U62,0)</f>
        <v>235035</v>
      </c>
      <c r="F752" s="275">
        <f>ROUND(U63,0)</f>
        <v>697718</v>
      </c>
      <c r="G752" s="275">
        <f>ROUND(U64,0)</f>
        <v>616877</v>
      </c>
      <c r="H752" s="275">
        <f>ROUND(U65,0)</f>
        <v>960</v>
      </c>
      <c r="I752" s="275">
        <f>ROUND(U66,0)</f>
        <v>80404</v>
      </c>
      <c r="J752" s="275">
        <f>ROUND(U67,0)</f>
        <v>45362</v>
      </c>
      <c r="K752" s="275">
        <f>ROUND(U68,0)</f>
        <v>0</v>
      </c>
      <c r="L752" s="275">
        <f>ROUND(U69,0)</f>
        <v>7734</v>
      </c>
      <c r="M752" s="275">
        <f>ROUND(U70,0)</f>
        <v>30000</v>
      </c>
      <c r="N752" s="275">
        <f>ROUND(U75,0)</f>
        <v>11457531</v>
      </c>
      <c r="O752" s="275">
        <f>ROUND(U73,0)</f>
        <v>1722701</v>
      </c>
      <c r="P752" s="275">
        <f>IF(U76&gt;0,ROUND(U76,0),0)</f>
        <v>1960</v>
      </c>
      <c r="Q752" s="275">
        <f>IF(U77&gt;0,ROUND(U77,0),0)</f>
        <v>0</v>
      </c>
      <c r="R752" s="275">
        <f>IF(U78&gt;0,ROUND(U78,0),0)</f>
        <v>1053</v>
      </c>
      <c r="S752" s="275">
        <f>IF(U79&gt;0,ROUND(U79,0),0)</f>
        <v>8329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960598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172*2021*7110*A</v>
      </c>
      <c r="B753" s="275">
        <f>ROUND(V59,0)</f>
        <v>3412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7151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520519</v>
      </c>
      <c r="O753" s="275">
        <f>ROUND(V73,0)</f>
        <v>47389</v>
      </c>
      <c r="P753" s="275">
        <f>IF(V76&gt;0,ROUND(V76,0),0)</f>
        <v>309</v>
      </c>
      <c r="Q753" s="275">
        <f>IF(V77&gt;0,ROUND(V77,0),0)</f>
        <v>0</v>
      </c>
      <c r="R753" s="275">
        <f>IF(V78&gt;0,ROUND(V78,0),0)</f>
        <v>527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45726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172*2021*7120*A</v>
      </c>
      <c r="B754" s="275">
        <f>ROUND(W59,0)</f>
        <v>2536</v>
      </c>
      <c r="C754" s="277">
        <f>ROUND(W60,2)</f>
        <v>2.94</v>
      </c>
      <c r="D754" s="275">
        <f>ROUND(W61,0)</f>
        <v>307226</v>
      </c>
      <c r="E754" s="275">
        <f>ROUND(W62,0)</f>
        <v>73890</v>
      </c>
      <c r="F754" s="275">
        <f>ROUND(W63,0)</f>
        <v>5256</v>
      </c>
      <c r="G754" s="275">
        <f>ROUND(W64,0)</f>
        <v>10039</v>
      </c>
      <c r="H754" s="275">
        <f>ROUND(W65,0)</f>
        <v>0</v>
      </c>
      <c r="I754" s="275">
        <f>ROUND(W66,0)</f>
        <v>158782</v>
      </c>
      <c r="J754" s="275">
        <f>ROUND(W67,0)</f>
        <v>11665</v>
      </c>
      <c r="K754" s="275">
        <f>ROUND(W68,0)</f>
        <v>0</v>
      </c>
      <c r="L754" s="275">
        <f>ROUND(W69,0)</f>
        <v>240</v>
      </c>
      <c r="M754" s="275">
        <f>ROUND(W70,0)</f>
        <v>0</v>
      </c>
      <c r="N754" s="275">
        <f>ROUND(W75,0)</f>
        <v>6013730</v>
      </c>
      <c r="O754" s="275">
        <f>ROUND(W73,0)</f>
        <v>41692</v>
      </c>
      <c r="P754" s="275">
        <f>IF(W76&gt;0,ROUND(W76,0),0)</f>
        <v>504</v>
      </c>
      <c r="Q754" s="275">
        <f>IF(W77&gt;0,ROUND(W77,0),0)</f>
        <v>0</v>
      </c>
      <c r="R754" s="275">
        <f>IF(W78&gt;0,ROUND(W78,0),0)</f>
        <v>527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454766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172*2021*7130*A</v>
      </c>
      <c r="B755" s="275">
        <f>ROUND(X59,0)</f>
        <v>4578</v>
      </c>
      <c r="C755" s="277">
        <f>ROUND(X60,2)</f>
        <v>0.84</v>
      </c>
      <c r="D755" s="275">
        <f>ROUND(X61,0)</f>
        <v>63543</v>
      </c>
      <c r="E755" s="275">
        <f>ROUND(X62,0)</f>
        <v>15283</v>
      </c>
      <c r="F755" s="275">
        <f>ROUND(X63,0)</f>
        <v>0</v>
      </c>
      <c r="G755" s="275">
        <f>ROUND(X64,0)</f>
        <v>19797</v>
      </c>
      <c r="H755" s="275">
        <f>ROUND(X65,0)</f>
        <v>0</v>
      </c>
      <c r="I755" s="275">
        <f>ROUND(X66,0)</f>
        <v>158195</v>
      </c>
      <c r="J755" s="275">
        <f>ROUND(X67,0)</f>
        <v>12081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8671562</v>
      </c>
      <c r="O755" s="275">
        <f>ROUND(X73,0)</f>
        <v>305351</v>
      </c>
      <c r="P755" s="275">
        <f>IF(X76&gt;0,ROUND(X76,0),0)</f>
        <v>522</v>
      </c>
      <c r="Q755" s="275">
        <f>IF(X77&gt;0,ROUND(X77,0),0)</f>
        <v>0</v>
      </c>
      <c r="R755" s="275">
        <f>IF(X78&gt;0,ROUND(X78,0),0)</f>
        <v>527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620473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172*2021*7140*A</v>
      </c>
      <c r="B756" s="275">
        <f>ROUND(Y59,0)</f>
        <v>22572</v>
      </c>
      <c r="C756" s="277">
        <f>ROUND(Y60,2)</f>
        <v>20.74</v>
      </c>
      <c r="D756" s="275">
        <f>ROUND(Y61,0)</f>
        <v>1706094</v>
      </c>
      <c r="E756" s="275">
        <f>ROUND(Y62,0)</f>
        <v>410327</v>
      </c>
      <c r="F756" s="275">
        <f>ROUND(Y63,0)</f>
        <v>245988</v>
      </c>
      <c r="G756" s="275">
        <f>ROUND(Y64,0)</f>
        <v>159895</v>
      </c>
      <c r="H756" s="275">
        <f>ROUND(Y65,0)</f>
        <v>960</v>
      </c>
      <c r="I756" s="275">
        <f>ROUND(Y66,0)</f>
        <v>281737</v>
      </c>
      <c r="J756" s="275">
        <f>ROUND(Y67,0)</f>
        <v>104935</v>
      </c>
      <c r="K756" s="275">
        <f>ROUND(Y68,0)</f>
        <v>31009</v>
      </c>
      <c r="L756" s="275">
        <f>ROUND(Y69,0)</f>
        <v>5397</v>
      </c>
      <c r="M756" s="275">
        <f>ROUND(Y70,0)</f>
        <v>260</v>
      </c>
      <c r="N756" s="275">
        <f>ROUND(Y75,0)</f>
        <v>10471954</v>
      </c>
      <c r="O756" s="275">
        <f>ROUND(Y73,0)</f>
        <v>577163</v>
      </c>
      <c r="P756" s="275">
        <f>IF(Y76&gt;0,ROUND(Y76,0),0)</f>
        <v>4534</v>
      </c>
      <c r="Q756" s="275">
        <f>IF(Y77&gt;0,ROUND(Y77,0),0)</f>
        <v>0</v>
      </c>
      <c r="R756" s="275">
        <f>IF(Y78&gt;0,ROUND(Y78,0),0)</f>
        <v>1317</v>
      </c>
      <c r="S756" s="275">
        <f>IF(Y79&gt;0,ROUND(Y79,0),0)</f>
        <v>11106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823129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172*2021*7150*A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172*2021*7160*A</v>
      </c>
      <c r="B758" s="275">
        <f>ROUND(AA59,0)</f>
        <v>863</v>
      </c>
      <c r="C758" s="277">
        <f>ROUND(AA60,2)</f>
        <v>2</v>
      </c>
      <c r="D758" s="275">
        <f>ROUND(AA61,0)</f>
        <v>225375</v>
      </c>
      <c r="E758" s="275">
        <f>ROUND(AA62,0)</f>
        <v>54204</v>
      </c>
      <c r="F758" s="275">
        <f>ROUND(AA63,0)</f>
        <v>222333</v>
      </c>
      <c r="G758" s="275">
        <f>ROUND(AA64,0)</f>
        <v>238917</v>
      </c>
      <c r="H758" s="275">
        <f>ROUND(AA65,0)</f>
        <v>0</v>
      </c>
      <c r="I758" s="275">
        <f>ROUND(AA66,0)</f>
        <v>125371</v>
      </c>
      <c r="J758" s="275">
        <f>ROUND(AA67,0)</f>
        <v>7059</v>
      </c>
      <c r="K758" s="275">
        <f>ROUND(AA68,0)</f>
        <v>0</v>
      </c>
      <c r="L758" s="275">
        <f>ROUND(AA69,0)</f>
        <v>10730</v>
      </c>
      <c r="M758" s="275">
        <f>ROUND(AA70,0)</f>
        <v>0</v>
      </c>
      <c r="N758" s="275">
        <f>ROUND(AA75,0)</f>
        <v>2759017</v>
      </c>
      <c r="O758" s="275">
        <f>ROUND(AA73,0)</f>
        <v>39265</v>
      </c>
      <c r="P758" s="275">
        <f>IF(AA76&gt;0,ROUND(AA76,0),0)</f>
        <v>305</v>
      </c>
      <c r="Q758" s="275">
        <f>IF(AA77&gt;0,ROUND(AA77,0),0)</f>
        <v>0</v>
      </c>
      <c r="R758" s="275">
        <f>IF(AA78&gt;0,ROUND(AA78,0),0)</f>
        <v>67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230832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172*2021*7170*A</v>
      </c>
      <c r="B759" s="275"/>
      <c r="C759" s="277">
        <f>ROUND(AB60,2)</f>
        <v>5.99</v>
      </c>
      <c r="D759" s="275">
        <f>ROUND(AB61,0)</f>
        <v>704535</v>
      </c>
      <c r="E759" s="275">
        <f>ROUND(AB62,0)</f>
        <v>169445</v>
      </c>
      <c r="F759" s="275">
        <f>ROUND(AB63,0)</f>
        <v>112236</v>
      </c>
      <c r="G759" s="275">
        <f>ROUND(AB64,0)</f>
        <v>3289596</v>
      </c>
      <c r="H759" s="275">
        <f>ROUND(AB65,0)</f>
        <v>24777</v>
      </c>
      <c r="I759" s="275">
        <f>ROUND(AB66,0)</f>
        <v>26336</v>
      </c>
      <c r="J759" s="275">
        <f>ROUND(AB67,0)</f>
        <v>18145</v>
      </c>
      <c r="K759" s="275">
        <f>ROUND(AB68,0)</f>
        <v>130114</v>
      </c>
      <c r="L759" s="275">
        <f>ROUND(AB69,0)</f>
        <v>8211</v>
      </c>
      <c r="M759" s="275">
        <f>ROUND(AB70,0)</f>
        <v>5772</v>
      </c>
      <c r="N759" s="275">
        <f>ROUND(AB75,0)</f>
        <v>17947100</v>
      </c>
      <c r="O759" s="275">
        <f>ROUND(AB73,0)</f>
        <v>3675480</v>
      </c>
      <c r="P759" s="275">
        <f>IF(AB76&gt;0,ROUND(AB76,0),0)</f>
        <v>784</v>
      </c>
      <c r="Q759" s="275">
        <f>IF(AB77&gt;0,ROUND(AB77,0),0)</f>
        <v>0</v>
      </c>
      <c r="R759" s="275">
        <f>IF(AB78&gt;0,ROUND(AB78,0),0)</f>
        <v>171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1542542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172*2021*7180*A</v>
      </c>
      <c r="B760" s="275">
        <f>ROUND(AC59,0)</f>
        <v>13786</v>
      </c>
      <c r="C760" s="277">
        <f>ROUND(AC60,2)</f>
        <v>10.48</v>
      </c>
      <c r="D760" s="275">
        <f>ROUND(AC61,0)</f>
        <v>803654</v>
      </c>
      <c r="E760" s="275">
        <f>ROUND(AC62,0)</f>
        <v>193284</v>
      </c>
      <c r="F760" s="275">
        <f>ROUND(AC63,0)</f>
        <v>51298</v>
      </c>
      <c r="G760" s="275">
        <f>ROUND(AC64,0)</f>
        <v>40577</v>
      </c>
      <c r="H760" s="275">
        <f>ROUND(AC65,0)</f>
        <v>400</v>
      </c>
      <c r="I760" s="275">
        <f>ROUND(AC66,0)</f>
        <v>9137</v>
      </c>
      <c r="J760" s="275">
        <f>ROUND(AC67,0)</f>
        <v>28629</v>
      </c>
      <c r="K760" s="275">
        <f>ROUND(AC68,0)</f>
        <v>466</v>
      </c>
      <c r="L760" s="275">
        <f>ROUND(AC69,0)</f>
        <v>1829</v>
      </c>
      <c r="M760" s="275">
        <f>ROUND(AC70,0)</f>
        <v>0</v>
      </c>
      <c r="N760" s="275">
        <f>ROUND(AC75,0)</f>
        <v>3372955</v>
      </c>
      <c r="O760" s="275">
        <f>ROUND(AC73,0)</f>
        <v>1176056</v>
      </c>
      <c r="P760" s="275">
        <f>IF(AC76&gt;0,ROUND(AC76,0),0)</f>
        <v>1237</v>
      </c>
      <c r="Q760" s="275">
        <f>IF(AC77&gt;0,ROUND(AC77,0),0)</f>
        <v>0</v>
      </c>
      <c r="R760" s="275">
        <f>IF(AC78&gt;0,ROUND(AC78,0),0)</f>
        <v>271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290218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172*2021*7190*A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172*2021*7200*A</v>
      </c>
      <c r="B762" s="275">
        <f>ROUND(AE59,0)</f>
        <v>28430</v>
      </c>
      <c r="C762" s="277">
        <f>ROUND(AE60,2)</f>
        <v>38.68</v>
      </c>
      <c r="D762" s="275">
        <f>ROUND(AE61,0)</f>
        <v>3020928</v>
      </c>
      <c r="E762" s="275">
        <f>ROUND(AE62,0)</f>
        <v>726553</v>
      </c>
      <c r="F762" s="275">
        <f>ROUND(AE63,0)</f>
        <v>14417</v>
      </c>
      <c r="G762" s="275">
        <f>ROUND(AE64,0)</f>
        <v>64164</v>
      </c>
      <c r="H762" s="275">
        <f>ROUND(AE65,0)</f>
        <v>30898</v>
      </c>
      <c r="I762" s="275">
        <f>ROUND(AE66,0)</f>
        <v>75773</v>
      </c>
      <c r="J762" s="275">
        <f>ROUND(AE67,0)</f>
        <v>202186</v>
      </c>
      <c r="K762" s="275">
        <f>ROUND(AE68,0)</f>
        <v>21870</v>
      </c>
      <c r="L762" s="275">
        <f>ROUND(AE69,0)</f>
        <v>39899</v>
      </c>
      <c r="M762" s="275">
        <f>ROUND(AE70,0)</f>
        <v>27632</v>
      </c>
      <c r="N762" s="275">
        <f>ROUND(AE75,0)</f>
        <v>4563168</v>
      </c>
      <c r="O762" s="275">
        <f>ROUND(AE73,0)</f>
        <v>372471</v>
      </c>
      <c r="P762" s="275">
        <f>IF(AE76&gt;0,ROUND(AE76,0),0)</f>
        <v>8736</v>
      </c>
      <c r="Q762" s="275">
        <f>IF(AE77&gt;0,ROUND(AE77,0),0)</f>
        <v>0</v>
      </c>
      <c r="R762" s="275">
        <f>IF(AE78&gt;0,ROUND(AE78,0),0)</f>
        <v>2633</v>
      </c>
      <c r="S762" s="275">
        <f>IF(AE79&gt;0,ROUND(AE79,0),0)</f>
        <v>54821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462767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172*2021*7220*A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172*2021*7230*A</v>
      </c>
      <c r="B764" s="275">
        <f>ROUND(AG59,0)</f>
        <v>11108</v>
      </c>
      <c r="C764" s="277">
        <f>ROUND(AG60,2)</f>
        <v>29.64</v>
      </c>
      <c r="D764" s="275">
        <f>ROUND(AG61,0)</f>
        <v>4637550</v>
      </c>
      <c r="E764" s="275">
        <f>ROUND(AG62,0)</f>
        <v>1115362</v>
      </c>
      <c r="F764" s="275">
        <f>ROUND(AG63,0)</f>
        <v>38185</v>
      </c>
      <c r="G764" s="275">
        <f>ROUND(AG64,0)</f>
        <v>128753</v>
      </c>
      <c r="H764" s="275">
        <f>ROUND(AG65,0)</f>
        <v>960</v>
      </c>
      <c r="I764" s="275">
        <f>ROUND(AG66,0)</f>
        <v>22572</v>
      </c>
      <c r="J764" s="275">
        <f>ROUND(AG67,0)</f>
        <v>148422</v>
      </c>
      <c r="K764" s="275">
        <f>ROUND(AG68,0)</f>
        <v>28076</v>
      </c>
      <c r="L764" s="275">
        <f>ROUND(AG69,0)</f>
        <v>84662</v>
      </c>
      <c r="M764" s="275">
        <f>ROUND(AG70,0)</f>
        <v>0</v>
      </c>
      <c r="N764" s="275">
        <f>ROUND(AG75,0)</f>
        <v>11996257</v>
      </c>
      <c r="O764" s="275">
        <f>ROUND(AG73,0)</f>
        <v>228719</v>
      </c>
      <c r="P764" s="275">
        <f>IF(AG76&gt;0,ROUND(AG76,0),0)</f>
        <v>6413</v>
      </c>
      <c r="Q764" s="275">
        <f>IF(AG77&gt;0,ROUND(AG77,0),0)</f>
        <v>1722</v>
      </c>
      <c r="R764" s="275">
        <f>IF(AG78&gt;0,ROUND(AG78,0),0)</f>
        <v>2897</v>
      </c>
      <c r="S764" s="275">
        <f>IF(AG79&gt;0,ROUND(AG79,0),0)</f>
        <v>49975</v>
      </c>
      <c r="T764" s="277">
        <f>IF(AG80&gt;0,ROUND(AG80,2),0)</f>
        <v>14.2</v>
      </c>
      <c r="U764" s="275"/>
      <c r="V764" s="276"/>
      <c r="W764" s="275"/>
      <c r="X764" s="275"/>
      <c r="Y764" s="275">
        <f t="shared" si="21"/>
        <v>1329584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172*2021*7240*A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172*2021*7250*A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172*2021*7260*A</v>
      </c>
      <c r="B767" s="275">
        <f>ROUND(AJ59,0)</f>
        <v>354</v>
      </c>
      <c r="C767" s="277">
        <f>ROUND(AJ60,2)</f>
        <v>0.66</v>
      </c>
      <c r="D767" s="275">
        <f>ROUND(AJ61,0)</f>
        <v>62943</v>
      </c>
      <c r="E767" s="275">
        <f>ROUND(AJ62,0)</f>
        <v>15138</v>
      </c>
      <c r="F767" s="275">
        <f>ROUND(AJ63,0)</f>
        <v>864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23144</v>
      </c>
      <c r="K767" s="275">
        <f>ROUND(AJ68,0)</f>
        <v>0</v>
      </c>
      <c r="L767" s="275">
        <f>ROUND(AJ69,0)</f>
        <v>370</v>
      </c>
      <c r="M767" s="275">
        <f>ROUND(AJ70,0)</f>
        <v>0</v>
      </c>
      <c r="N767" s="275">
        <f>ROUND(AJ75,0)</f>
        <v>124301</v>
      </c>
      <c r="O767" s="275">
        <f>ROUND(AJ73,0)</f>
        <v>0</v>
      </c>
      <c r="P767" s="275">
        <f>IF(AJ76&gt;0,ROUND(AJ76,0),0)</f>
        <v>1000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-23262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172*2021*7310*A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172*2021*7320*A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172*2021*7330*A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172*2021*7340*A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172*2021*7350*A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172*2021*7380*A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772294</v>
      </c>
      <c r="G773" s="275">
        <f>ROUND(AP64,0)</f>
        <v>157874</v>
      </c>
      <c r="H773" s="275">
        <f>ROUND(AP65,0)</f>
        <v>0</v>
      </c>
      <c r="I773" s="275">
        <f>ROUND(AP66,0)</f>
        <v>8625</v>
      </c>
      <c r="J773" s="275">
        <f>ROUND(AP67,0)</f>
        <v>0</v>
      </c>
      <c r="K773" s="275">
        <f>ROUND(AP68,0)</f>
        <v>8000</v>
      </c>
      <c r="L773" s="275">
        <f>ROUND(AP69,0)</f>
        <v>1038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790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65586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172*2021*7390*A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172*2021*7400*A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172*2021*7410*A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172*2021*7420*A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172*2021*7430*A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172*2021*7490*A</v>
      </c>
      <c r="B779" s="275"/>
      <c r="C779" s="277">
        <f>ROUND(AV60,2)</f>
        <v>2</v>
      </c>
      <c r="D779" s="275">
        <f>ROUND(AV61,0)</f>
        <v>169098</v>
      </c>
      <c r="E779" s="275">
        <f>ROUND(AV62,0)</f>
        <v>40669</v>
      </c>
      <c r="F779" s="275">
        <f>ROUND(AV63,0)</f>
        <v>23765</v>
      </c>
      <c r="G779" s="275">
        <f>ROUND(AV64,0)</f>
        <v>4241</v>
      </c>
      <c r="H779" s="275">
        <f>ROUND(AV65,0)</f>
        <v>0</v>
      </c>
      <c r="I779" s="275">
        <f>ROUND(AV66,0)</f>
        <v>554</v>
      </c>
      <c r="J779" s="275">
        <f>ROUND(AV67,0)</f>
        <v>0</v>
      </c>
      <c r="K779" s="275">
        <f>ROUND(AV68,0)</f>
        <v>0</v>
      </c>
      <c r="L779" s="275">
        <f>ROUND(AV69,0)</f>
        <v>11311</v>
      </c>
      <c r="M779" s="275">
        <f>ROUND(AV70,0)</f>
        <v>374659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7585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172*2021*8200*A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172*2021*8310*A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172*2021*8320*A</v>
      </c>
      <c r="B782" s="275">
        <f>ROUND(AY59,0)</f>
        <v>20824</v>
      </c>
      <c r="C782" s="277">
        <f>ROUND(AY60,2)</f>
        <v>18.260000000000002</v>
      </c>
      <c r="D782" s="275">
        <f>ROUND(AY61,0)</f>
        <v>818276</v>
      </c>
      <c r="E782" s="275">
        <f>ROUND(AY62,0)</f>
        <v>196801</v>
      </c>
      <c r="F782" s="275">
        <f>ROUND(AY63,0)</f>
        <v>780</v>
      </c>
      <c r="G782" s="275">
        <f>ROUND(AY64,0)</f>
        <v>459988</v>
      </c>
      <c r="H782" s="275">
        <f>ROUND(AY65,0)</f>
        <v>0</v>
      </c>
      <c r="I782" s="275">
        <f>ROUND(AY66,0)</f>
        <v>13034</v>
      </c>
      <c r="J782" s="275">
        <f>ROUND(AY67,0)</f>
        <v>110304</v>
      </c>
      <c r="K782" s="275">
        <f>ROUND(AY68,0)</f>
        <v>3234</v>
      </c>
      <c r="L782" s="275">
        <f>ROUND(AY69,0)</f>
        <v>4424</v>
      </c>
      <c r="M782" s="275">
        <f>ROUND(AY70,0)</f>
        <v>1370</v>
      </c>
      <c r="N782" s="275"/>
      <c r="O782" s="275"/>
      <c r="P782" s="275">
        <f>IF(AY76&gt;0,ROUND(AY76,0),0)</f>
        <v>4766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172*2021*8330*A</v>
      </c>
      <c r="B783" s="275">
        <f>ROUND(AZ59,0)</f>
        <v>55991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361912</v>
      </c>
      <c r="N783" s="275"/>
      <c r="O783" s="275"/>
      <c r="P783" s="275">
        <f>IF(AZ76&gt;0,ROUND(AZ76,0),0)</f>
        <v>0</v>
      </c>
      <c r="Q783" s="275">
        <f>IF(AZ77&gt;0,ROUND(AZ77,0),0)</f>
        <v>53997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172*2021*8350*A</v>
      </c>
      <c r="B784" s="275">
        <f>ROUND(BA59,0)</f>
        <v>0</v>
      </c>
      <c r="C784" s="277">
        <f>ROUND(BA60,2)</f>
        <v>0.81</v>
      </c>
      <c r="D784" s="275">
        <f>ROUND(BA61,0)</f>
        <v>36874</v>
      </c>
      <c r="E784" s="275">
        <f>ROUND(BA62,0)</f>
        <v>8868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183019</v>
      </c>
      <c r="J784" s="275">
        <f>ROUND(BA67,0)</f>
        <v>29948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1294</v>
      </c>
      <c r="Q784" s="275">
        <f>IF(BA77&gt;0,ROUND(BA77,0),0)</f>
        <v>0</v>
      </c>
      <c r="R784" s="275">
        <f>IF(BA78&gt;0,ROUND(BA78,0),0)</f>
        <v>283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172*2021*8360*A</v>
      </c>
      <c r="B785" s="275"/>
      <c r="C785" s="277">
        <f>ROUND(BB60,2)</f>
        <v>6.14</v>
      </c>
      <c r="D785" s="275">
        <f>ROUND(BB61,0)</f>
        <v>486688</v>
      </c>
      <c r="E785" s="275">
        <f>ROUND(BB62,0)</f>
        <v>117052</v>
      </c>
      <c r="F785" s="275">
        <f>ROUND(BB63,0)</f>
        <v>15654</v>
      </c>
      <c r="G785" s="275">
        <f>ROUND(BB64,0)</f>
        <v>341</v>
      </c>
      <c r="H785" s="275">
        <f>ROUND(BB65,0)</f>
        <v>3320</v>
      </c>
      <c r="I785" s="275">
        <f>ROUND(BB66,0)</f>
        <v>13780</v>
      </c>
      <c r="J785" s="275">
        <f>ROUND(BB67,0)</f>
        <v>3472</v>
      </c>
      <c r="K785" s="275">
        <f>ROUND(BB68,0)</f>
        <v>2083</v>
      </c>
      <c r="L785" s="275">
        <f>ROUND(BB69,0)</f>
        <v>4614</v>
      </c>
      <c r="M785" s="275">
        <f>ROUND(BB70,0)</f>
        <v>8586</v>
      </c>
      <c r="N785" s="275"/>
      <c r="O785" s="275"/>
      <c r="P785" s="275">
        <f>IF(BB76&gt;0,ROUND(BB76,0),0)</f>
        <v>150</v>
      </c>
      <c r="Q785" s="275">
        <f>IF(BB77&gt;0,ROUND(BB77,0),0)</f>
        <v>0</v>
      </c>
      <c r="R785" s="275">
        <f>IF(BB78&gt;0,ROUND(BB78,0),0)</f>
        <v>33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172*2021*8370*A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172*2021*8420*A</v>
      </c>
      <c r="B787" s="275"/>
      <c r="C787" s="277">
        <f>ROUND(BD60,2)</f>
        <v>6.07</v>
      </c>
      <c r="D787" s="275">
        <f>ROUND(BD61,0)</f>
        <v>424896</v>
      </c>
      <c r="E787" s="275">
        <f>ROUND(BD62,0)</f>
        <v>102190</v>
      </c>
      <c r="F787" s="275">
        <f>ROUND(BD63,0)</f>
        <v>0</v>
      </c>
      <c r="G787" s="275">
        <f>ROUND(BD64,0)</f>
        <v>12673</v>
      </c>
      <c r="H787" s="275">
        <f>ROUND(BD65,0)</f>
        <v>907</v>
      </c>
      <c r="I787" s="275">
        <f>ROUND(BD66,0)</f>
        <v>1447</v>
      </c>
      <c r="J787" s="275">
        <f>ROUND(BD67,0)</f>
        <v>65243</v>
      </c>
      <c r="K787" s="275">
        <f>ROUND(BD68,0)</f>
        <v>6739</v>
      </c>
      <c r="L787" s="275">
        <f>ROUND(BD69,0)</f>
        <v>2755</v>
      </c>
      <c r="M787" s="275">
        <f>ROUND(BD70,0)</f>
        <v>0</v>
      </c>
      <c r="N787" s="275"/>
      <c r="O787" s="275"/>
      <c r="P787" s="275">
        <f>IF(BD76&gt;0,ROUND(BD76,0),0)</f>
        <v>2819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172*2021*8430*A</v>
      </c>
      <c r="B788" s="275">
        <f>ROUND(BE59,0)</f>
        <v>120387</v>
      </c>
      <c r="C788" s="277">
        <f>ROUND(BE60,2)</f>
        <v>6.63</v>
      </c>
      <c r="D788" s="275">
        <f>ROUND(BE61,0)</f>
        <v>500981</v>
      </c>
      <c r="E788" s="275">
        <f>ROUND(BE62,0)</f>
        <v>120489</v>
      </c>
      <c r="F788" s="275">
        <f>ROUND(BE63,0)</f>
        <v>59392</v>
      </c>
      <c r="G788" s="275">
        <f>ROUND(BE64,0)</f>
        <v>8906</v>
      </c>
      <c r="H788" s="275">
        <f>ROUND(BE65,0)</f>
        <v>480840</v>
      </c>
      <c r="I788" s="275">
        <f>ROUND(BE66,0)</f>
        <v>145462</v>
      </c>
      <c r="J788" s="275">
        <f>ROUND(BE67,0)</f>
        <v>304366</v>
      </c>
      <c r="K788" s="275">
        <f>ROUND(BE68,0)</f>
        <v>9191</v>
      </c>
      <c r="L788" s="275">
        <f>ROUND(BE69,0)</f>
        <v>625</v>
      </c>
      <c r="M788" s="275">
        <f>ROUND(BE70,0)</f>
        <v>0</v>
      </c>
      <c r="N788" s="275"/>
      <c r="O788" s="275"/>
      <c r="P788" s="275">
        <f>IF(BE76&gt;0,ROUND(BE76,0),0)</f>
        <v>13151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172*2021*8460*A</v>
      </c>
      <c r="B789" s="275"/>
      <c r="C789" s="277">
        <f>ROUND(BF60,2)</f>
        <v>12.66</v>
      </c>
      <c r="D789" s="275">
        <f>ROUND(BF61,0)</f>
        <v>561195</v>
      </c>
      <c r="E789" s="275">
        <f>ROUND(BF62,0)</f>
        <v>134971</v>
      </c>
      <c r="F789" s="275">
        <f>ROUND(BF63,0)</f>
        <v>0</v>
      </c>
      <c r="G789" s="275">
        <f>ROUND(BF64,0)</f>
        <v>44450</v>
      </c>
      <c r="H789" s="275">
        <f>ROUND(BF65,0)</f>
        <v>53134</v>
      </c>
      <c r="I789" s="275">
        <f>ROUND(BF66,0)</f>
        <v>2039</v>
      </c>
      <c r="J789" s="275">
        <f>ROUND(BF67,0)</f>
        <v>8679</v>
      </c>
      <c r="K789" s="275">
        <f>ROUND(BF68,0)</f>
        <v>103</v>
      </c>
      <c r="L789" s="275">
        <f>ROUND(BF69,0)</f>
        <v>3594</v>
      </c>
      <c r="M789" s="275">
        <f>ROUND(BF70,0)</f>
        <v>0</v>
      </c>
      <c r="N789" s="275"/>
      <c r="O789" s="275"/>
      <c r="P789" s="275">
        <f>IF(BF76&gt;0,ROUND(BF76,0),0)</f>
        <v>375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172*2021*8470*A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172*2021*8480*A</v>
      </c>
      <c r="B791" s="275"/>
      <c r="C791" s="277">
        <f>ROUND(BH60,2)</f>
        <v>8.01</v>
      </c>
      <c r="D791" s="275">
        <f>ROUND(BH61,0)</f>
        <v>581178</v>
      </c>
      <c r="E791" s="275">
        <f>ROUND(BH62,0)</f>
        <v>139777</v>
      </c>
      <c r="F791" s="275">
        <f>ROUND(BH63,0)</f>
        <v>0</v>
      </c>
      <c r="G791" s="275">
        <f>ROUND(BH64,0)</f>
        <v>5527</v>
      </c>
      <c r="H791" s="275">
        <f>ROUND(BH65,0)</f>
        <v>138180</v>
      </c>
      <c r="I791" s="275">
        <f>ROUND(BH66,0)</f>
        <v>999579</v>
      </c>
      <c r="J791" s="275">
        <f>ROUND(BH67,0)</f>
        <v>43210</v>
      </c>
      <c r="K791" s="275">
        <f>ROUND(BH68,0)</f>
        <v>678</v>
      </c>
      <c r="L791" s="275">
        <f>ROUND(BH69,0)</f>
        <v>4114</v>
      </c>
      <c r="M791" s="275">
        <f>ROUND(BH70,0)</f>
        <v>19994</v>
      </c>
      <c r="N791" s="275"/>
      <c r="O791" s="275"/>
      <c r="P791" s="275">
        <f>IF(BH76&gt;0,ROUND(BH76,0),0)</f>
        <v>1867</v>
      </c>
      <c r="Q791" s="275">
        <f>IF(BH77&gt;0,ROUND(BH77,0),0)</f>
        <v>0</v>
      </c>
      <c r="R791" s="275">
        <f>IF(BH78&gt;0,ROUND(BH78,0),0)</f>
        <v>263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172*2021*8490*A</v>
      </c>
      <c r="B792" s="275"/>
      <c r="C792" s="277">
        <f>ROUND(BI60,2)</f>
        <v>4.54</v>
      </c>
      <c r="D792" s="275">
        <f>ROUND(BI61,0)</f>
        <v>458257</v>
      </c>
      <c r="E792" s="275">
        <f>ROUND(BI62,0)</f>
        <v>110214</v>
      </c>
      <c r="F792" s="275">
        <f>ROUND(BI63,0)</f>
        <v>50294</v>
      </c>
      <c r="G792" s="275">
        <f>ROUND(BI64,0)</f>
        <v>3145</v>
      </c>
      <c r="H792" s="275">
        <f>ROUND(BI65,0)</f>
        <v>3758</v>
      </c>
      <c r="I792" s="275">
        <f>ROUND(BI66,0)</f>
        <v>28338</v>
      </c>
      <c r="J792" s="275">
        <f>ROUND(BI67,0)</f>
        <v>0</v>
      </c>
      <c r="K792" s="275">
        <f>ROUND(BI68,0)</f>
        <v>42606</v>
      </c>
      <c r="L792" s="275">
        <f>ROUND(BI69,0)</f>
        <v>134062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172*2021*8510*A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172*2021*8530*A</v>
      </c>
      <c r="B794" s="275"/>
      <c r="C794" s="277">
        <f>ROUND(BK60,2)</f>
        <v>13.05</v>
      </c>
      <c r="D794" s="275">
        <f>ROUND(BK61,0)</f>
        <v>678711</v>
      </c>
      <c r="E794" s="275">
        <f>ROUND(BK62,0)</f>
        <v>163235</v>
      </c>
      <c r="F794" s="275">
        <f>ROUND(BK63,0)</f>
        <v>230086</v>
      </c>
      <c r="G794" s="275">
        <f>ROUND(BK64,0)</f>
        <v>25803</v>
      </c>
      <c r="H794" s="275">
        <f>ROUND(BK65,0)</f>
        <v>3206</v>
      </c>
      <c r="I794" s="275">
        <f>ROUND(BK66,0)</f>
        <v>303385</v>
      </c>
      <c r="J794" s="275">
        <f>ROUND(BK67,0)</f>
        <v>0</v>
      </c>
      <c r="K794" s="275">
        <f>ROUND(BK68,0)</f>
        <v>54923</v>
      </c>
      <c r="L794" s="275">
        <f>ROUND(BK69,0)</f>
        <v>8418</v>
      </c>
      <c r="M794" s="275">
        <f>ROUND(BK70,0)</f>
        <v>60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172*2021*8560*A</v>
      </c>
      <c r="B795" s="275"/>
      <c r="C795" s="277">
        <f>ROUND(BL60,2)</f>
        <v>9.01</v>
      </c>
      <c r="D795" s="275">
        <f>ROUND(BL61,0)</f>
        <v>451635</v>
      </c>
      <c r="E795" s="275">
        <f>ROUND(BL62,0)</f>
        <v>108621</v>
      </c>
      <c r="F795" s="275">
        <f>ROUND(BL63,0)</f>
        <v>0</v>
      </c>
      <c r="G795" s="275">
        <f>ROUND(BL64,0)</f>
        <v>9196</v>
      </c>
      <c r="H795" s="275">
        <f>ROUND(BL65,0)</f>
        <v>480</v>
      </c>
      <c r="I795" s="275">
        <f>ROUND(BL66,0)</f>
        <v>704</v>
      </c>
      <c r="J795" s="275">
        <f>ROUND(BL67,0)</f>
        <v>20043</v>
      </c>
      <c r="K795" s="275">
        <f>ROUND(BL68,0)</f>
        <v>3532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866</v>
      </c>
      <c r="Q795" s="275">
        <f>IF(BL77&gt;0,ROUND(BL77,0),0)</f>
        <v>0</v>
      </c>
      <c r="R795" s="275">
        <f>IF(BL78&gt;0,ROUND(BL78,0),0)</f>
        <v>189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172*2021*8590*A</v>
      </c>
      <c r="B796" s="275"/>
      <c r="C796" s="277">
        <f>ROUND(BM60,2)</f>
        <v>4.0999999999999996</v>
      </c>
      <c r="D796" s="275">
        <f>ROUND(BM61,0)</f>
        <v>318856</v>
      </c>
      <c r="E796" s="275">
        <f>ROUND(BM62,0)</f>
        <v>76687</v>
      </c>
      <c r="F796" s="275">
        <f>ROUND(BM63,0)</f>
        <v>75320</v>
      </c>
      <c r="G796" s="275">
        <f>ROUND(BM64,0)</f>
        <v>5066</v>
      </c>
      <c r="H796" s="275">
        <f>ROUND(BM65,0)</f>
        <v>0</v>
      </c>
      <c r="I796" s="275">
        <f>ROUND(BM66,0)</f>
        <v>24458</v>
      </c>
      <c r="J796" s="275">
        <f>ROUND(BM67,0)</f>
        <v>6365</v>
      </c>
      <c r="K796" s="275">
        <f>ROUND(BM68,0)</f>
        <v>0</v>
      </c>
      <c r="L796" s="275">
        <f>ROUND(BM69,0)</f>
        <v>41055</v>
      </c>
      <c r="M796" s="275">
        <f>ROUND(BM70,0)</f>
        <v>0</v>
      </c>
      <c r="N796" s="275"/>
      <c r="O796" s="275"/>
      <c r="P796" s="275">
        <f>IF(BM76&gt;0,ROUND(BM76,0),0)</f>
        <v>275</v>
      </c>
      <c r="Q796" s="275">
        <f>IF(BM77&gt;0,ROUND(BM77,0),0)</f>
        <v>0</v>
      </c>
      <c r="R796" s="275">
        <f>IF(BM78&gt;0,ROUND(BM78,0),0)</f>
        <v>60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172*2021*8610*A</v>
      </c>
      <c r="B797" s="275"/>
      <c r="C797" s="277">
        <f>ROUND(BN60,2)</f>
        <v>4.47</v>
      </c>
      <c r="D797" s="275">
        <f>ROUND(BN61,0)</f>
        <v>631058</v>
      </c>
      <c r="E797" s="275">
        <f>ROUND(BN62,0)</f>
        <v>151774</v>
      </c>
      <c r="F797" s="275">
        <f>ROUND(BN63,0)</f>
        <v>165489</v>
      </c>
      <c r="G797" s="275">
        <f>ROUND(BN64,0)</f>
        <v>8161</v>
      </c>
      <c r="H797" s="275">
        <f>ROUND(BN65,0)</f>
        <v>880</v>
      </c>
      <c r="I797" s="275">
        <f>ROUND(BN66,0)</f>
        <v>105627</v>
      </c>
      <c r="J797" s="275">
        <f>ROUND(BN67,0)</f>
        <v>82508</v>
      </c>
      <c r="K797" s="275">
        <f>ROUND(BN68,0)</f>
        <v>9940</v>
      </c>
      <c r="L797" s="275">
        <f>ROUND(BN69,0)</f>
        <v>198594</v>
      </c>
      <c r="M797" s="275">
        <f>ROUND(BN70,0)</f>
        <v>50000</v>
      </c>
      <c r="N797" s="275"/>
      <c r="O797" s="275"/>
      <c r="P797" s="275">
        <f>IF(BN76&gt;0,ROUND(BN76,0),0)</f>
        <v>3565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172*2021*8620*A</v>
      </c>
      <c r="B798" s="275"/>
      <c r="C798" s="277">
        <f>ROUND(BO60,2)</f>
        <v>1.1599999999999999</v>
      </c>
      <c r="D798" s="275">
        <f>ROUND(BO61,0)</f>
        <v>80209</v>
      </c>
      <c r="E798" s="275">
        <f>ROUND(BO62,0)</f>
        <v>19291</v>
      </c>
      <c r="F798" s="275">
        <f>ROUND(BO63,0)</f>
        <v>0</v>
      </c>
      <c r="G798" s="275">
        <f>ROUND(BO64,0)</f>
        <v>43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1719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172*2021*8630*A</v>
      </c>
      <c r="B799" s="275"/>
      <c r="C799" s="277">
        <f>ROUND(BP60,2)</f>
        <v>2.95</v>
      </c>
      <c r="D799" s="275">
        <f>ROUND(BP61,0)</f>
        <v>265408</v>
      </c>
      <c r="E799" s="275">
        <f>ROUND(BP62,0)</f>
        <v>63832</v>
      </c>
      <c r="F799" s="275">
        <f>ROUND(BP63,0)</f>
        <v>395886</v>
      </c>
      <c r="G799" s="275">
        <f>ROUND(BP64,0)</f>
        <v>5470</v>
      </c>
      <c r="H799" s="275">
        <f>ROUND(BP65,0)</f>
        <v>480</v>
      </c>
      <c r="I799" s="275">
        <f>ROUND(BP66,0)</f>
        <v>43922</v>
      </c>
      <c r="J799" s="275">
        <f>ROUND(BP67,0)</f>
        <v>6365</v>
      </c>
      <c r="K799" s="275">
        <f>ROUND(BP68,0)</f>
        <v>0</v>
      </c>
      <c r="L799" s="275">
        <f>ROUND(BP69,0)</f>
        <v>18410</v>
      </c>
      <c r="M799" s="275">
        <f>ROUND(BP70,0)</f>
        <v>15000</v>
      </c>
      <c r="N799" s="275"/>
      <c r="O799" s="275"/>
      <c r="P799" s="275">
        <f>IF(BP76&gt;0,ROUND(BP76,0),0)</f>
        <v>275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172*2021*8640*A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172*2021*8650*A</v>
      </c>
      <c r="B801" s="275"/>
      <c r="C801" s="277">
        <f>ROUND(BR60,2)</f>
        <v>6.23</v>
      </c>
      <c r="D801" s="275">
        <f>ROUND(BR61,0)</f>
        <v>513309</v>
      </c>
      <c r="E801" s="275">
        <f>ROUND(BR62,0)</f>
        <v>123454</v>
      </c>
      <c r="F801" s="275">
        <f>ROUND(BR63,0)</f>
        <v>71623</v>
      </c>
      <c r="G801" s="275">
        <f>ROUND(BR64,0)</f>
        <v>6049</v>
      </c>
      <c r="H801" s="275">
        <f>ROUND(BR65,0)</f>
        <v>0</v>
      </c>
      <c r="I801" s="275">
        <f>ROUND(BR66,0)</f>
        <v>76229</v>
      </c>
      <c r="J801" s="275">
        <f>ROUND(BR67,0)</f>
        <v>6365</v>
      </c>
      <c r="K801" s="275">
        <f>ROUND(BR68,0)</f>
        <v>0</v>
      </c>
      <c r="L801" s="275">
        <f>ROUND(BR69,0)</f>
        <v>81676</v>
      </c>
      <c r="M801" s="275">
        <f>ROUND(BR70,0)</f>
        <v>26475</v>
      </c>
      <c r="N801" s="275"/>
      <c r="O801" s="275"/>
      <c r="P801" s="275">
        <f>IF(BR76&gt;0,ROUND(BR76,0),0)</f>
        <v>275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172*2021*8660*A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172*2021*8670*A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172*2021*8680*A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172*2021*8690*A</v>
      </c>
      <c r="B805" s="275"/>
      <c r="C805" s="277">
        <f>ROUND(BV60,2)</f>
        <v>3.38</v>
      </c>
      <c r="D805" s="275">
        <f>ROUND(BV61,0)</f>
        <v>243433</v>
      </c>
      <c r="E805" s="275">
        <f>ROUND(BV62,0)</f>
        <v>58547</v>
      </c>
      <c r="F805" s="275">
        <f>ROUND(BV63,0)</f>
        <v>204095</v>
      </c>
      <c r="G805" s="275">
        <f>ROUND(BV64,0)</f>
        <v>3220</v>
      </c>
      <c r="H805" s="275">
        <f>ROUND(BV65,0)</f>
        <v>0</v>
      </c>
      <c r="I805" s="275">
        <f>ROUND(BV66,0)</f>
        <v>41381</v>
      </c>
      <c r="J805" s="275">
        <f>ROUND(BV67,0)</f>
        <v>31314</v>
      </c>
      <c r="K805" s="275">
        <f>ROUND(BV68,0)</f>
        <v>8943</v>
      </c>
      <c r="L805" s="275">
        <f>ROUND(BV69,0)</f>
        <v>632</v>
      </c>
      <c r="M805" s="275">
        <f>ROUND(BV70,0)</f>
        <v>7364</v>
      </c>
      <c r="N805" s="275"/>
      <c r="O805" s="275"/>
      <c r="P805" s="275">
        <f>IF(BV76&gt;0,ROUND(BV76,0),0)</f>
        <v>1353</v>
      </c>
      <c r="Q805" s="275">
        <f>IF(BV77&gt;0,ROUND(BV77,0),0)</f>
        <v>0</v>
      </c>
      <c r="R805" s="275">
        <f>IF(BV78&gt;0,ROUND(BV78,0),0)</f>
        <v>296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172*2021*8700*A</v>
      </c>
      <c r="B806" s="275"/>
      <c r="C806" s="277">
        <f>ROUND(BW60,2)</f>
        <v>3.41</v>
      </c>
      <c r="D806" s="275">
        <f>ROUND(BW61,0)</f>
        <v>590163</v>
      </c>
      <c r="E806" s="275">
        <f>ROUND(BW62,0)</f>
        <v>141938</v>
      </c>
      <c r="F806" s="275">
        <f>ROUND(BW63,0)</f>
        <v>1193155</v>
      </c>
      <c r="G806" s="275">
        <f>ROUND(BW64,0)</f>
        <v>2076</v>
      </c>
      <c r="H806" s="275">
        <f>ROUND(BW65,0)</f>
        <v>960</v>
      </c>
      <c r="I806" s="275">
        <f>ROUND(BW66,0)</f>
        <v>27817</v>
      </c>
      <c r="J806" s="275">
        <f>ROUND(BW67,0)</f>
        <v>3472</v>
      </c>
      <c r="K806" s="275">
        <f>ROUND(BW68,0)</f>
        <v>0</v>
      </c>
      <c r="L806" s="275">
        <f>ROUND(BW69,0)</f>
        <v>19405</v>
      </c>
      <c r="M806" s="275">
        <f>ROUND(BW70,0)</f>
        <v>247224</v>
      </c>
      <c r="N806" s="275"/>
      <c r="O806" s="275"/>
      <c r="P806" s="275">
        <f>IF(BW76&gt;0,ROUND(BW76,0),0)</f>
        <v>150</v>
      </c>
      <c r="Q806" s="275">
        <f>IF(BW77&gt;0,ROUND(BW77,0),0)</f>
        <v>0</v>
      </c>
      <c r="R806" s="275">
        <f>IF(BW78&gt;0,ROUND(BW78,0),0)</f>
        <v>33</v>
      </c>
      <c r="S806" s="275">
        <f>IF(BW79&gt;0,ROUND(BW79,0),0)</f>
        <v>1264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172*2021*8710*A</v>
      </c>
      <c r="B807" s="275"/>
      <c r="C807" s="277">
        <f>ROUND(BX60,2)</f>
        <v>2.75</v>
      </c>
      <c r="D807" s="275">
        <f>ROUND(BX61,0)</f>
        <v>209509</v>
      </c>
      <c r="E807" s="275">
        <f>ROUND(BX62,0)</f>
        <v>50388</v>
      </c>
      <c r="F807" s="275">
        <f>ROUND(BX63,0)</f>
        <v>75267</v>
      </c>
      <c r="G807" s="275">
        <f>ROUND(BX64,0)</f>
        <v>160</v>
      </c>
      <c r="H807" s="275">
        <f>ROUND(BX65,0)</f>
        <v>480</v>
      </c>
      <c r="I807" s="275">
        <f>ROUND(BX66,0)</f>
        <v>43840</v>
      </c>
      <c r="J807" s="275">
        <f>ROUND(BX67,0)</f>
        <v>3472</v>
      </c>
      <c r="K807" s="275">
        <f>ROUND(BX68,0)</f>
        <v>0</v>
      </c>
      <c r="L807" s="275">
        <f>ROUND(BX69,0)</f>
        <v>8304</v>
      </c>
      <c r="M807" s="275">
        <f>ROUND(BX70,0)</f>
        <v>0</v>
      </c>
      <c r="N807" s="275"/>
      <c r="O807" s="275"/>
      <c r="P807" s="275">
        <f>IF(BX76&gt;0,ROUND(BX76,0),0)</f>
        <v>150</v>
      </c>
      <c r="Q807" s="275">
        <f>IF(BX77&gt;0,ROUND(BX77,0),0)</f>
        <v>0</v>
      </c>
      <c r="R807" s="275">
        <f>IF(BX78&gt;0,ROUND(BX78,0),0)</f>
        <v>33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172*2021*8720*A</v>
      </c>
      <c r="B808" s="275"/>
      <c r="C808" s="277">
        <f>ROUND(BY60,2)</f>
        <v>5.19</v>
      </c>
      <c r="D808" s="275">
        <f>ROUND(BY61,0)</f>
        <v>861389</v>
      </c>
      <c r="E808" s="275">
        <f>ROUND(BY62,0)</f>
        <v>207170</v>
      </c>
      <c r="F808" s="275">
        <f>ROUND(BY63,0)</f>
        <v>3563</v>
      </c>
      <c r="G808" s="275">
        <f>ROUND(BY64,0)</f>
        <v>1184</v>
      </c>
      <c r="H808" s="275">
        <f>ROUND(BY65,0)</f>
        <v>1115</v>
      </c>
      <c r="I808" s="275">
        <f>ROUND(BY66,0)</f>
        <v>0</v>
      </c>
      <c r="J808" s="275">
        <f>ROUND(BY67,0)</f>
        <v>3472</v>
      </c>
      <c r="K808" s="275">
        <f>ROUND(BY68,0)</f>
        <v>0</v>
      </c>
      <c r="L808" s="275">
        <f>ROUND(BY69,0)</f>
        <v>3803</v>
      </c>
      <c r="M808" s="275">
        <f>ROUND(BY70,0)</f>
        <v>32696</v>
      </c>
      <c r="N808" s="275"/>
      <c r="O808" s="275"/>
      <c r="P808" s="275">
        <f>IF(BY76&gt;0,ROUND(BY76,0),0)</f>
        <v>150</v>
      </c>
      <c r="Q808" s="275">
        <f>IF(BY77&gt;0,ROUND(BY77,0),0)</f>
        <v>0</v>
      </c>
      <c r="R808" s="275">
        <f>IF(BY78&gt;0,ROUND(BY78,0),0)</f>
        <v>33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172*2021*8730*A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172*2021*8740*A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172*2021*8770*A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172*2021*8790*A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584432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25252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172*2021*9000*A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1525046</v>
      </c>
      <c r="V813" s="276">
        <f>ROUND(CD70,0)</f>
        <v>7166326</v>
      </c>
      <c r="W813" s="275">
        <f>ROUND(CE72,0)</f>
        <v>1239883</v>
      </c>
      <c r="X813" s="275">
        <f>ROUND(C131,0)</f>
        <v>207443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351.80000000000013</v>
      </c>
      <c r="D815" s="276">
        <f t="shared" si="22"/>
        <v>31519203</v>
      </c>
      <c r="E815" s="276">
        <f t="shared" si="22"/>
        <v>7580578</v>
      </c>
      <c r="F815" s="276">
        <f t="shared" si="22"/>
        <v>5343108</v>
      </c>
      <c r="G815" s="276">
        <f t="shared" si="22"/>
        <v>11471442</v>
      </c>
      <c r="H815" s="276">
        <f t="shared" si="22"/>
        <v>749575</v>
      </c>
      <c r="I815" s="276">
        <f t="shared" si="22"/>
        <v>3560333</v>
      </c>
      <c r="J815" s="276">
        <f t="shared" si="22"/>
        <v>2786236</v>
      </c>
      <c r="K815" s="276">
        <f t="shared" si="22"/>
        <v>602979</v>
      </c>
      <c r="L815" s="276">
        <f>SUM(L734:L813)+SUM(U734:U813)</f>
        <v>2354397</v>
      </c>
      <c r="M815" s="276">
        <f>SUM(M734:M813)+SUM(V734:V813)</f>
        <v>8399492</v>
      </c>
      <c r="N815" s="276">
        <f t="shared" ref="N815:Y815" si="23">SUM(N734:N813)</f>
        <v>129781063</v>
      </c>
      <c r="O815" s="276">
        <f t="shared" si="23"/>
        <v>27773854</v>
      </c>
      <c r="P815" s="276">
        <f t="shared" si="23"/>
        <v>120387</v>
      </c>
      <c r="Q815" s="276">
        <f t="shared" si="23"/>
        <v>74821</v>
      </c>
      <c r="R815" s="276">
        <f t="shared" si="23"/>
        <v>22274</v>
      </c>
      <c r="S815" s="276">
        <f t="shared" si="23"/>
        <v>300407</v>
      </c>
      <c r="T815" s="280">
        <f t="shared" si="23"/>
        <v>76.239999999999995</v>
      </c>
      <c r="U815" s="276">
        <f t="shared" si="23"/>
        <v>1525046</v>
      </c>
      <c r="V815" s="276">
        <f t="shared" si="23"/>
        <v>7166326</v>
      </c>
      <c r="W815" s="276">
        <f t="shared" si="23"/>
        <v>1239883</v>
      </c>
      <c r="X815" s="276">
        <f t="shared" si="23"/>
        <v>207443</v>
      </c>
      <c r="Y815" s="276">
        <f t="shared" si="23"/>
        <v>12270435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351.80000000000013</v>
      </c>
      <c r="D816" s="276">
        <f>CE61</f>
        <v>31519203</v>
      </c>
      <c r="E816" s="276">
        <f>CE62</f>
        <v>7580578</v>
      </c>
      <c r="F816" s="276">
        <f>CE63</f>
        <v>5343108</v>
      </c>
      <c r="G816" s="276">
        <f>CE64</f>
        <v>11471442</v>
      </c>
      <c r="H816" s="279">
        <f>CE65</f>
        <v>749575</v>
      </c>
      <c r="I816" s="279">
        <f>CE66</f>
        <v>3560333</v>
      </c>
      <c r="J816" s="279">
        <f>CE67</f>
        <v>2786236</v>
      </c>
      <c r="K816" s="279">
        <f>CE68</f>
        <v>602979</v>
      </c>
      <c r="L816" s="279">
        <f>CE69</f>
        <v>2354397</v>
      </c>
      <c r="M816" s="279">
        <f>CE70</f>
        <v>8399492</v>
      </c>
      <c r="N816" s="276">
        <f>CE75</f>
        <v>129781063</v>
      </c>
      <c r="O816" s="276">
        <f>CE73</f>
        <v>27773854</v>
      </c>
      <c r="P816" s="276">
        <f>CE76</f>
        <v>120387</v>
      </c>
      <c r="Q816" s="276">
        <f>CE77</f>
        <v>74821.38</v>
      </c>
      <c r="R816" s="276">
        <f>CE78</f>
        <v>22274</v>
      </c>
      <c r="S816" s="276">
        <f>CE79</f>
        <v>300407</v>
      </c>
      <c r="T816" s="280">
        <f>CE80</f>
        <v>76.243200961538463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12270432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31519203</v>
      </c>
      <c r="E817" s="180">
        <f>C379</f>
        <v>7580580</v>
      </c>
      <c r="F817" s="180">
        <f>C380</f>
        <v>5343108</v>
      </c>
      <c r="G817" s="239">
        <f>C381</f>
        <v>11471442</v>
      </c>
      <c r="H817" s="239">
        <f>C382</f>
        <v>749575</v>
      </c>
      <c r="I817" s="239">
        <f>C383</f>
        <v>3560333</v>
      </c>
      <c r="J817" s="239">
        <f>C384</f>
        <v>2786234</v>
      </c>
      <c r="K817" s="239">
        <f>C385</f>
        <v>602979</v>
      </c>
      <c r="L817" s="239">
        <f>C386+C387+C388+C389</f>
        <v>2354397</v>
      </c>
      <c r="M817" s="239">
        <f>C370</f>
        <v>8399492</v>
      </c>
      <c r="N817" s="180">
        <f>D361</f>
        <v>129781063</v>
      </c>
      <c r="O817" s="180">
        <f>C359</f>
        <v>27773854</v>
      </c>
    </row>
  </sheetData>
  <sheetProtection algorithmName="SHA-512" hashValue="jdhdRutDxTAQ8pFa4abcIDLtXne8t4yjSbIrGKndJsei4myUrM0P6ttcGvGu2ClY/+ENci3d7NYf7mod2N9Itw==" saltValue="cqot/ZHom7DBmQoZAyNhSQ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9" transitionEvaluation="1" transitionEntry="1" codeName="Sheet10">
    <pageSetUpPr autoPageBreaks="0" fitToPage="1"/>
  </sheetPr>
  <dimension ref="A1:CF816"/>
  <sheetViews>
    <sheetView showGridLines="0" topLeftCell="A39" zoomScale="75" workbookViewId="0">
      <selection activeCell="A410" sqref="A410:E47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1258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1230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199"/>
      <c r="C15" s="234"/>
    </row>
    <row r="16" spans="1:6" ht="12.75" customHeight="1" x14ac:dyDescent="0.35">
      <c r="A16" s="292" t="s">
        <v>1265</v>
      </c>
      <c r="C16" s="234"/>
    </row>
    <row r="17" spans="1:7" ht="12.75" customHeight="1" x14ac:dyDescent="0.35">
      <c r="A17" s="292" t="s">
        <v>1264</v>
      </c>
      <c r="C17" s="287"/>
      <c r="F17" s="235"/>
    </row>
    <row r="18" spans="1:7" ht="12.75" customHeight="1" x14ac:dyDescent="0.35">
      <c r="A18" s="290"/>
      <c r="C18" s="234"/>
    </row>
    <row r="19" spans="1:7" ht="12.75" customHeight="1" x14ac:dyDescent="0.35">
      <c r="C19" s="234"/>
    </row>
    <row r="20" spans="1:7" ht="12.75" customHeight="1" x14ac:dyDescent="0.35">
      <c r="A20" s="272" t="s">
        <v>1233</v>
      </c>
      <c r="B20" s="272"/>
      <c r="C20" s="288"/>
      <c r="D20" s="272"/>
      <c r="E20" s="272"/>
      <c r="F20" s="272"/>
      <c r="G20" s="272"/>
    </row>
    <row r="21" spans="1:7" ht="22.5" customHeight="1" x14ac:dyDescent="0.35">
      <c r="A21" s="199"/>
      <c r="C21" s="234"/>
    </row>
    <row r="22" spans="1:7" ht="12.65" customHeight="1" x14ac:dyDescent="0.35">
      <c r="A22" s="272" t="s">
        <v>1253</v>
      </c>
      <c r="B22" s="291"/>
      <c r="C22" s="288"/>
      <c r="D22" s="272"/>
      <c r="E22" s="272"/>
      <c r="F22" s="272"/>
    </row>
    <row r="23" spans="1:7" ht="12.65" customHeight="1" x14ac:dyDescent="0.35">
      <c r="B23" s="199"/>
      <c r="C23" s="234"/>
    </row>
    <row r="24" spans="1:7" ht="12.65" customHeight="1" x14ac:dyDescent="0.35">
      <c r="A24" s="239" t="s">
        <v>3</v>
      </c>
      <c r="C24" s="234"/>
    </row>
    <row r="25" spans="1:7" ht="12.65" customHeight="1" x14ac:dyDescent="0.35">
      <c r="A25" s="198" t="s">
        <v>1234</v>
      </c>
      <c r="C25" s="234"/>
    </row>
    <row r="26" spans="1:7" ht="12.65" customHeight="1" x14ac:dyDescent="0.35">
      <c r="A26" s="199" t="s">
        <v>4</v>
      </c>
      <c r="C26" s="234"/>
    </row>
    <row r="27" spans="1:7" ht="12.65" customHeight="1" x14ac:dyDescent="0.35">
      <c r="A27" s="198" t="s">
        <v>1235</v>
      </c>
      <c r="C27" s="234"/>
    </row>
    <row r="28" spans="1:7" ht="12.65" customHeight="1" x14ac:dyDescent="0.35">
      <c r="A28" s="199" t="s">
        <v>5</v>
      </c>
      <c r="C28" s="234"/>
    </row>
    <row r="29" spans="1:7" ht="12.65" customHeight="1" x14ac:dyDescent="0.35">
      <c r="A29" s="198"/>
      <c r="C29" s="234"/>
    </row>
    <row r="30" spans="1:7" ht="12.65" customHeight="1" x14ac:dyDescent="0.35">
      <c r="A30" s="180" t="s">
        <v>6</v>
      </c>
      <c r="C30" s="234"/>
    </row>
    <row r="31" spans="1:7" ht="12.65" customHeight="1" x14ac:dyDescent="0.35">
      <c r="A31" s="199" t="s">
        <v>7</v>
      </c>
      <c r="C31" s="234"/>
    </row>
    <row r="32" spans="1:7" ht="12.65" customHeight="1" x14ac:dyDescent="0.35">
      <c r="A32" s="199" t="s">
        <v>8</v>
      </c>
      <c r="C32" s="234"/>
    </row>
    <row r="33" spans="1:84" ht="12.65" customHeight="1" x14ac:dyDescent="0.35">
      <c r="A33" s="198" t="s">
        <v>1236</v>
      </c>
      <c r="C33" s="234"/>
    </row>
    <row r="34" spans="1:84" ht="12.65" customHeight="1" x14ac:dyDescent="0.35">
      <c r="A34" s="199" t="s">
        <v>9</v>
      </c>
      <c r="C34" s="234"/>
    </row>
    <row r="35" spans="1:84" ht="12.65" customHeight="1" x14ac:dyDescent="0.35">
      <c r="A35" s="199"/>
      <c r="C35" s="234"/>
    </row>
    <row r="36" spans="1:84" ht="12.65" customHeight="1" x14ac:dyDescent="0.35">
      <c r="A36" s="198" t="s">
        <v>1237</v>
      </c>
      <c r="C36" s="234"/>
    </row>
    <row r="37" spans="1:84" ht="12.65" customHeight="1" x14ac:dyDescent="0.35">
      <c r="A37" s="199" t="s">
        <v>1229</v>
      </c>
      <c r="C37" s="234"/>
    </row>
    <row r="38" spans="1:84" ht="12" customHeight="1" x14ac:dyDescent="0.35">
      <c r="A38" s="198"/>
      <c r="C38" s="234"/>
    </row>
    <row r="39" spans="1:84" ht="12.65" customHeight="1" x14ac:dyDescent="0.35">
      <c r="A39" s="199"/>
      <c r="C39" s="234"/>
    </row>
    <row r="40" spans="1:84" ht="12" customHeight="1" x14ac:dyDescent="0.35">
      <c r="A40" s="199"/>
      <c r="C40" s="234"/>
    </row>
    <row r="41" spans="1:84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4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4" ht="12" customHeight="1" x14ac:dyDescent="0.35">
      <c r="A43" s="199"/>
      <c r="C43" s="234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7317229</v>
      </c>
      <c r="C48" s="301">
        <f>ROUND(((B48/CE61)*C61),0)</f>
        <v>276173</v>
      </c>
      <c r="D48" s="301">
        <f>ROUND(((B48/CE61)*D61),0)</f>
        <v>0</v>
      </c>
      <c r="E48" s="295">
        <f>ROUND(((B48/CE61)*E61),0)</f>
        <v>729524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429295</v>
      </c>
      <c r="P48" s="295">
        <f>ROUND(((B48/CE61)*P61),0)</f>
        <v>896506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225941</v>
      </c>
      <c r="V48" s="295">
        <f>ROUND(((B48/CE61)*V61),0)</f>
        <v>0</v>
      </c>
      <c r="W48" s="295">
        <f>ROUND(((B48/CE61)*W61),0)</f>
        <v>76016</v>
      </c>
      <c r="X48" s="295">
        <f>ROUND(((B48/CE61)*X61),0)</f>
        <v>15420</v>
      </c>
      <c r="Y48" s="295">
        <f>ROUND(((B48/CE61)*Y61),0)</f>
        <v>362353</v>
      </c>
      <c r="Z48" s="295">
        <f>ROUND(((B48/CE61)*Z61),0)</f>
        <v>0</v>
      </c>
      <c r="AA48" s="295">
        <f>ROUND(((B48/CE61)*AA61),0)</f>
        <v>49582</v>
      </c>
      <c r="AB48" s="295">
        <f>ROUND(((B48/CE61)*AB61),0)</f>
        <v>161641</v>
      </c>
      <c r="AC48" s="295">
        <f>ROUND(((B48/CE61)*AC61),0)</f>
        <v>205476</v>
      </c>
      <c r="AD48" s="295">
        <f>ROUND(((B48/CE61)*AD61),0)</f>
        <v>0</v>
      </c>
      <c r="AE48" s="295">
        <f>ROUND(((B48/CE61)*AE61),0)</f>
        <v>729817</v>
      </c>
      <c r="AF48" s="295">
        <f>ROUND(((B48/CE61)*AF61),0)</f>
        <v>0</v>
      </c>
      <c r="AG48" s="295">
        <f>ROUND(((B48/CE61)*AG61),0)</f>
        <v>1051814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12330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49376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195763</v>
      </c>
      <c r="AZ48" s="295">
        <f>ROUND(((B48/CE61)*AZ61),0)</f>
        <v>0</v>
      </c>
      <c r="BA48" s="295">
        <f>ROUND(((B48/CE61)*BA61),0)</f>
        <v>399</v>
      </c>
      <c r="BB48" s="295">
        <f>ROUND(((B48/CE61)*BB61),0)</f>
        <v>105609</v>
      </c>
      <c r="BC48" s="295">
        <f>ROUND(((B48/CE61)*BC61),0)</f>
        <v>0</v>
      </c>
      <c r="BD48" s="295">
        <f>ROUND(((B48/CE61)*BD61),0)</f>
        <v>101532</v>
      </c>
      <c r="BE48" s="295">
        <f>ROUND(((B48/CE61)*BE61),0)</f>
        <v>118566</v>
      </c>
      <c r="BF48" s="295">
        <f>ROUND(((B48/CE61)*BF61),0)</f>
        <v>128702</v>
      </c>
      <c r="BG48" s="295">
        <f>ROUND(((B48/CE61)*BG61),0)</f>
        <v>0</v>
      </c>
      <c r="BH48" s="295">
        <f>ROUND(((B48/CE61)*BH61),0)</f>
        <v>138612</v>
      </c>
      <c r="BI48" s="295">
        <f>ROUND(((B48/CE61)*BI61),0)</f>
        <v>110522</v>
      </c>
      <c r="BJ48" s="295">
        <f>ROUND(((B48/CE61)*BJ61),0)</f>
        <v>0</v>
      </c>
      <c r="BK48" s="295">
        <f>ROUND(((B48/CE61)*BK61),0)</f>
        <v>138789</v>
      </c>
      <c r="BL48" s="295">
        <f>ROUND(((B48/CE61)*BL61),0)</f>
        <v>109425</v>
      </c>
      <c r="BM48" s="295">
        <f>ROUND(((B48/CE61)*BM61),0)</f>
        <v>70356</v>
      </c>
      <c r="BN48" s="295">
        <f>ROUND(((B48/CE61)*BN61),0)</f>
        <v>149631</v>
      </c>
      <c r="BO48" s="295">
        <f>ROUND(((B48/CE61)*BO61),0)</f>
        <v>22909</v>
      </c>
      <c r="BP48" s="295">
        <f>ROUND(((B48/CE61)*BP61),0)</f>
        <v>66312</v>
      </c>
      <c r="BQ48" s="295">
        <f>ROUND(((B48/CE61)*BQ61),0)</f>
        <v>0</v>
      </c>
      <c r="BR48" s="295">
        <f>ROUND(((B48/CE61)*BR61),0)</f>
        <v>137890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63492</v>
      </c>
      <c r="BW48" s="295">
        <f>ROUND(((B48/CE61)*BW61),0)</f>
        <v>140565</v>
      </c>
      <c r="BX48" s="295">
        <f>ROUND(((B48/CE61)*BX61),0)</f>
        <v>57252</v>
      </c>
      <c r="BY48" s="295">
        <f>ROUND(((B48/CE61)*BY61),0)</f>
        <v>189640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7317230</v>
      </c>
      <c r="CF48" s="2"/>
    </row>
    <row r="49" spans="1:84" ht="12.65" customHeight="1" x14ac:dyDescent="0.35">
      <c r="A49" s="295" t="s">
        <v>206</v>
      </c>
      <c r="B49" s="295">
        <f>B47+B48</f>
        <v>7317229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2913364</v>
      </c>
      <c r="C52" s="295">
        <f>ROUND((B52/(CE76+CF76)*C76),0)</f>
        <v>43657</v>
      </c>
      <c r="D52" s="295">
        <f>ROUND((B52/(CE76+CF76)*D76),0)</f>
        <v>0</v>
      </c>
      <c r="E52" s="295">
        <f>ROUND((B52/(CE76+CF76)*E76),0)</f>
        <v>235054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200400</v>
      </c>
      <c r="P52" s="295">
        <f>ROUND((B52/(CE76+CF76)*P76),0)</f>
        <v>389934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34824</v>
      </c>
      <c r="T52" s="295">
        <f>ROUND((B52/(CE76+CF76)*T76),0)</f>
        <v>0</v>
      </c>
      <c r="U52" s="295">
        <f>ROUND((B52/(CE76+CF76)*U76),0)</f>
        <v>47432</v>
      </c>
      <c r="V52" s="295">
        <f>ROUND((B52/(CE76+CF76)*V76),0)</f>
        <v>7478</v>
      </c>
      <c r="W52" s="295">
        <f>ROUND((B52/(CE76+CF76)*W76),0)</f>
        <v>12197</v>
      </c>
      <c r="X52" s="295">
        <f>ROUND((B52/(CE76+CF76)*X76),0)</f>
        <v>12632</v>
      </c>
      <c r="Y52" s="295">
        <f>ROUND((B52/(CE76+CF76)*Y76),0)</f>
        <v>109723</v>
      </c>
      <c r="Z52" s="295">
        <f>ROUND((B52/(CE76+CF76)*Z76),0)</f>
        <v>0</v>
      </c>
      <c r="AA52" s="295">
        <f>ROUND((B52/(CE76+CF76)*AA76),0)</f>
        <v>7381</v>
      </c>
      <c r="AB52" s="295">
        <f>ROUND((B52/(CE76+CF76)*AB76),0)</f>
        <v>18973</v>
      </c>
      <c r="AC52" s="295">
        <f>ROUND((B52/(CE76+CF76)*AC76),0)</f>
        <v>29935</v>
      </c>
      <c r="AD52" s="295">
        <f>ROUND((B52/(CE76+CF76)*AD76),0)</f>
        <v>0</v>
      </c>
      <c r="AE52" s="295">
        <f>ROUND((B52/(CE76+CF76)*AE76),0)</f>
        <v>211411</v>
      </c>
      <c r="AF52" s="295">
        <f>ROUND((B52/(CE76+CF76)*AF76),0)</f>
        <v>0</v>
      </c>
      <c r="AG52" s="295">
        <f>ROUND((B52/(CE76+CF76)*AG76),0)</f>
        <v>155195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24200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115337</v>
      </c>
      <c r="AZ52" s="295">
        <f>ROUND((B52/(CE76+CF76)*AZ76),0)</f>
        <v>0</v>
      </c>
      <c r="BA52" s="295">
        <f>ROUND((B52/(CE76+CF76)*BA76),0)</f>
        <v>31315</v>
      </c>
      <c r="BB52" s="295">
        <f>ROUND((B52/(CE76+CF76)*BB76),0)</f>
        <v>3630</v>
      </c>
      <c r="BC52" s="295">
        <f>ROUND((B52/(CE76+CF76)*BC76),0)</f>
        <v>0</v>
      </c>
      <c r="BD52" s="295">
        <f>ROUND((B52/(CE76+CF76)*BD76),0)</f>
        <v>68220</v>
      </c>
      <c r="BE52" s="295">
        <f>ROUND((B52/(CE76+CF76)*BE76),0)</f>
        <v>318254</v>
      </c>
      <c r="BF52" s="295">
        <f>ROUND((B52/(CE76+CF76)*BF76),0)</f>
        <v>9075</v>
      </c>
      <c r="BG52" s="295">
        <f>ROUND((B52/(CE76+CF76)*BG76),0)</f>
        <v>0</v>
      </c>
      <c r="BH52" s="295">
        <f>ROUND((B52/(CE76+CF76)*BH76),0)</f>
        <v>45181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20957</v>
      </c>
      <c r="BM52" s="295">
        <f>ROUND((B52/(CE76+CF76)*BM76),0)</f>
        <v>6655</v>
      </c>
      <c r="BN52" s="295">
        <f>ROUND((B52/(CE76+CF76)*BN76),0)</f>
        <v>86273</v>
      </c>
      <c r="BO52" s="295">
        <f>ROUND((B52/(CE76+CF76)*BO76),0)</f>
        <v>0</v>
      </c>
      <c r="BP52" s="295">
        <f>ROUND((B52/(CE76+CF76)*BP76),0)</f>
        <v>6655</v>
      </c>
      <c r="BQ52" s="295">
        <f>ROUND((B52/(CE76+CF76)*BQ76),0)</f>
        <v>0</v>
      </c>
      <c r="BR52" s="295">
        <f>ROUND((B52/(CE76+CF76)*BR76),0)</f>
        <v>6655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32743</v>
      </c>
      <c r="BW52" s="295">
        <f>ROUND((B52/(CE76+CF76)*BW76),0)</f>
        <v>3630</v>
      </c>
      <c r="BX52" s="295">
        <f>ROUND((B52/(CE76+CF76)*BX76),0)</f>
        <v>3630</v>
      </c>
      <c r="BY52" s="295">
        <f>ROUND((B52/(CE76+CF76)*BY76),0)</f>
        <v>3630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611098</v>
      </c>
      <c r="CD52" s="295"/>
      <c r="CE52" s="295">
        <f>SUM(C52:CD52)</f>
        <v>2913364</v>
      </c>
      <c r="CF52" s="2"/>
    </row>
    <row r="53" spans="1:84" ht="12.65" customHeight="1" x14ac:dyDescent="0.35">
      <c r="A53" s="295" t="s">
        <v>206</v>
      </c>
      <c r="B53" s="295">
        <f>B51+B52</f>
        <v>2913364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600</v>
      </c>
      <c r="D59" s="300"/>
      <c r="E59" s="300">
        <f>2179+853-181</f>
        <v>2851</v>
      </c>
      <c r="F59" s="300"/>
      <c r="G59" s="300"/>
      <c r="H59" s="300"/>
      <c r="I59" s="300"/>
      <c r="J59" s="300">
        <v>711</v>
      </c>
      <c r="K59" s="300"/>
      <c r="L59" s="300">
        <v>181</v>
      </c>
      <c r="M59" s="300"/>
      <c r="N59" s="300"/>
      <c r="O59" s="300">
        <v>358</v>
      </c>
      <c r="P59" s="185">
        <v>215571</v>
      </c>
      <c r="Q59" s="185">
        <v>105830</v>
      </c>
      <c r="R59" s="185">
        <f>2695*60</f>
        <v>161700</v>
      </c>
      <c r="S59" s="247"/>
      <c r="T59" s="247"/>
      <c r="U59" s="224">
        <v>110516</v>
      </c>
      <c r="V59" s="185">
        <v>3574</v>
      </c>
      <c r="W59" s="185">
        <v>2866</v>
      </c>
      <c r="X59" s="185">
        <v>4910</v>
      </c>
      <c r="Y59" s="185">
        <f>17023+2784+5549</f>
        <v>25356</v>
      </c>
      <c r="Z59" s="185"/>
      <c r="AA59" s="185">
        <f>803</f>
        <v>803</v>
      </c>
      <c r="AB59" s="247"/>
      <c r="AC59" s="185">
        <f>11768+546+1378</f>
        <v>13692</v>
      </c>
      <c r="AD59" s="185"/>
      <c r="AE59" s="185">
        <f>16120+5387+16634</f>
        <v>38141</v>
      </c>
      <c r="AF59" s="185"/>
      <c r="AG59" s="185">
        <v>12662</v>
      </c>
      <c r="AH59" s="185"/>
      <c r="AI59" s="185"/>
      <c r="AJ59" s="185">
        <v>340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f>21476.37</f>
        <v>21476.37</v>
      </c>
      <c r="AZ59" s="185">
        <f>111014.79-21476.37</f>
        <v>89538.42</v>
      </c>
      <c r="BA59" s="247"/>
      <c r="BB59" s="247"/>
      <c r="BC59" s="247"/>
      <c r="BD59" s="247"/>
      <c r="BE59" s="185">
        <v>120387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14.97</v>
      </c>
      <c r="D60" s="187"/>
      <c r="E60" s="187">
        <f>7.11+24.75</f>
        <v>31.86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21.81</v>
      </c>
      <c r="P60" s="221">
        <f>23.2+25.14</f>
        <v>48.34</v>
      </c>
      <c r="Q60" s="221"/>
      <c r="R60" s="221"/>
      <c r="S60" s="221"/>
      <c r="T60" s="221"/>
      <c r="U60" s="221">
        <v>15.85</v>
      </c>
      <c r="V60" s="221"/>
      <c r="W60" s="221">
        <v>3.34</v>
      </c>
      <c r="X60" s="221">
        <v>0.99</v>
      </c>
      <c r="Y60" s="221">
        <f>13.01+5.41+1.92</f>
        <v>20.340000000000003</v>
      </c>
      <c r="Z60" s="221"/>
      <c r="AA60" s="221">
        <v>2.09</v>
      </c>
      <c r="AB60" s="221">
        <v>6.3</v>
      </c>
      <c r="AC60" s="221">
        <f>8.52+1.5+1.63</f>
        <v>11.649999999999999</v>
      </c>
      <c r="AD60" s="221"/>
      <c r="AE60" s="221">
        <f>33.87+1+4.77+4.43</f>
        <v>44.07</v>
      </c>
      <c r="AF60" s="221"/>
      <c r="AG60" s="221">
        <f>23.95+0.52+7.79</f>
        <v>32.26</v>
      </c>
      <c r="AH60" s="221"/>
      <c r="AI60" s="221"/>
      <c r="AJ60" s="221">
        <v>0.66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2.0099999999999998</v>
      </c>
      <c r="AW60" s="221"/>
      <c r="AX60" s="221"/>
      <c r="AY60" s="221">
        <v>3.24</v>
      </c>
      <c r="AZ60" s="221">
        <v>18.059999999999999</v>
      </c>
      <c r="BA60" s="221">
        <v>0.1</v>
      </c>
      <c r="BB60" s="221">
        <f>6.36+0.12</f>
        <v>6.48</v>
      </c>
      <c r="BC60" s="221"/>
      <c r="BD60" s="221">
        <v>7.02</v>
      </c>
      <c r="BE60" s="221">
        <v>7.81</v>
      </c>
      <c r="BF60" s="221">
        <v>14.88</v>
      </c>
      <c r="BG60" s="221"/>
      <c r="BH60" s="221">
        <f>4.04+2.16</f>
        <v>6.2</v>
      </c>
      <c r="BI60" s="221">
        <v>5.0599999999999996</v>
      </c>
      <c r="BJ60" s="221"/>
      <c r="BK60" s="221">
        <f>9.82+2</f>
        <v>11.82</v>
      </c>
      <c r="BL60" s="221">
        <v>12.1</v>
      </c>
      <c r="BM60" s="221">
        <v>4.0199999999999996</v>
      </c>
      <c r="BN60" s="221">
        <v>3.76</v>
      </c>
      <c r="BO60" s="221">
        <f>0.29+0.86</f>
        <v>1.1499999999999999</v>
      </c>
      <c r="BP60" s="221">
        <v>4.4800000000000004</v>
      </c>
      <c r="BQ60" s="221"/>
      <c r="BR60" s="221">
        <f>1+6.1</f>
        <v>7.1</v>
      </c>
      <c r="BS60" s="221"/>
      <c r="BT60" s="221"/>
      <c r="BU60" s="221"/>
      <c r="BV60" s="221">
        <v>4.8499999999999996</v>
      </c>
      <c r="BW60" s="221">
        <f>2.04+1.5</f>
        <v>3.54</v>
      </c>
      <c r="BX60" s="221">
        <v>3.06</v>
      </c>
      <c r="BY60" s="221">
        <v>6.64</v>
      </c>
      <c r="BZ60" s="221"/>
      <c r="CA60" s="221"/>
      <c r="CB60" s="221"/>
      <c r="CC60" s="221"/>
      <c r="CD60" s="305" t="s">
        <v>221</v>
      </c>
      <c r="CE60" s="307">
        <f t="shared" ref="CE60:CE70" si="0">SUM(C60:CD60)</f>
        <v>387.91000000000008</v>
      </c>
      <c r="CF60" s="2"/>
    </row>
    <row r="61" spans="1:84" ht="12.65" customHeight="1" x14ac:dyDescent="0.35">
      <c r="A61" s="302" t="s">
        <v>235</v>
      </c>
      <c r="B61" s="295"/>
      <c r="C61" s="300">
        <f>1237422</f>
        <v>1237422</v>
      </c>
      <c r="D61" s="300"/>
      <c r="E61" s="300">
        <f>1397924+1870791</f>
        <v>3268715</v>
      </c>
      <c r="F61" s="185"/>
      <c r="G61" s="300"/>
      <c r="H61" s="300"/>
      <c r="I61" s="185"/>
      <c r="J61" s="185"/>
      <c r="K61" s="185"/>
      <c r="L61" s="185"/>
      <c r="M61" s="300"/>
      <c r="N61" s="300"/>
      <c r="O61" s="300">
        <v>1923502</v>
      </c>
      <c r="P61" s="185">
        <f>1791152+2225743</f>
        <v>4016895</v>
      </c>
      <c r="Q61" s="185"/>
      <c r="R61" s="185"/>
      <c r="S61" s="185"/>
      <c r="T61" s="185"/>
      <c r="U61" s="185">
        <v>1012353</v>
      </c>
      <c r="V61" s="185"/>
      <c r="W61" s="185">
        <v>340597</v>
      </c>
      <c r="X61" s="185">
        <v>69090</v>
      </c>
      <c r="Y61" s="185">
        <f>992392+476401+154772</f>
        <v>1623565</v>
      </c>
      <c r="Z61" s="185"/>
      <c r="AA61" s="185">
        <v>222157</v>
      </c>
      <c r="AB61" s="185">
        <v>724249</v>
      </c>
      <c r="AC61" s="185">
        <f>700460+151902+68294</f>
        <v>920656</v>
      </c>
      <c r="AD61" s="185"/>
      <c r="AE61" s="185">
        <f>2616176+316474+234030+103344</f>
        <v>3270024</v>
      </c>
      <c r="AF61" s="185"/>
      <c r="AG61" s="185">
        <f>2177044+56717+2479010</f>
        <v>4712771</v>
      </c>
      <c r="AH61" s="185"/>
      <c r="AI61" s="185"/>
      <c r="AJ61" s="185">
        <v>55245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167429+53805</f>
        <v>221234</v>
      </c>
      <c r="AW61" s="185"/>
      <c r="AX61" s="185"/>
      <c r="AY61" s="185">
        <f>668538+208601</f>
        <v>877139</v>
      </c>
      <c r="AZ61" s="185"/>
      <c r="BA61" s="185">
        <v>1789</v>
      </c>
      <c r="BB61" s="185">
        <f>466240+6952</f>
        <v>473192</v>
      </c>
      <c r="BC61" s="185"/>
      <c r="BD61" s="185">
        <f>454926</f>
        <v>454926</v>
      </c>
      <c r="BE61" s="185">
        <v>531250</v>
      </c>
      <c r="BF61" s="185">
        <v>576665</v>
      </c>
      <c r="BG61" s="185"/>
      <c r="BH61" s="185">
        <f>364035+257032</f>
        <v>621067</v>
      </c>
      <c r="BI61" s="185">
        <v>495205</v>
      </c>
      <c r="BJ61" s="185"/>
      <c r="BK61" s="185">
        <f>468632+153227</f>
        <v>621859</v>
      </c>
      <c r="BL61" s="185">
        <v>490289</v>
      </c>
      <c r="BM61" s="185">
        <f>315240</f>
        <v>315240</v>
      </c>
      <c r="BN61" s="185">
        <f>670439</f>
        <v>670439</v>
      </c>
      <c r="BO61" s="185">
        <f>81973+20673</f>
        <v>102646</v>
      </c>
      <c r="BP61" s="185">
        <v>297117</v>
      </c>
      <c r="BQ61" s="185"/>
      <c r="BR61" s="185">
        <f>563863+53969</f>
        <v>617832</v>
      </c>
      <c r="BS61" s="185"/>
      <c r="BT61" s="185"/>
      <c r="BU61" s="185"/>
      <c r="BV61" s="185">
        <v>284484</v>
      </c>
      <c r="BW61" s="185">
        <f>87604+542213</f>
        <v>629817</v>
      </c>
      <c r="BX61" s="185">
        <v>256524</v>
      </c>
      <c r="BY61" s="185">
        <v>849701</v>
      </c>
      <c r="BZ61" s="185"/>
      <c r="CA61" s="185"/>
      <c r="CB61" s="185"/>
      <c r="CC61" s="185"/>
      <c r="CD61" s="305" t="s">
        <v>221</v>
      </c>
      <c r="CE61" s="295">
        <f t="shared" si="0"/>
        <v>32785656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276173</v>
      </c>
      <c r="D62" s="295">
        <f t="shared" si="1"/>
        <v>0</v>
      </c>
      <c r="E62" s="295">
        <f t="shared" si="1"/>
        <v>729524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429295</v>
      </c>
      <c r="P62" s="295">
        <f t="shared" si="1"/>
        <v>896506</v>
      </c>
      <c r="Q62" s="295">
        <f t="shared" si="1"/>
        <v>0</v>
      </c>
      <c r="R62" s="295">
        <f t="shared" si="1"/>
        <v>0</v>
      </c>
      <c r="S62" s="295">
        <f t="shared" si="1"/>
        <v>0</v>
      </c>
      <c r="T62" s="295">
        <f t="shared" si="1"/>
        <v>0</v>
      </c>
      <c r="U62" s="295">
        <f t="shared" si="1"/>
        <v>225941</v>
      </c>
      <c r="V62" s="295">
        <f t="shared" si="1"/>
        <v>0</v>
      </c>
      <c r="W62" s="295">
        <f t="shared" si="1"/>
        <v>76016</v>
      </c>
      <c r="X62" s="295">
        <f t="shared" si="1"/>
        <v>15420</v>
      </c>
      <c r="Y62" s="295">
        <f t="shared" si="1"/>
        <v>362353</v>
      </c>
      <c r="Z62" s="295">
        <f t="shared" si="1"/>
        <v>0</v>
      </c>
      <c r="AA62" s="295">
        <f t="shared" si="1"/>
        <v>49582</v>
      </c>
      <c r="AB62" s="295">
        <f t="shared" si="1"/>
        <v>161641</v>
      </c>
      <c r="AC62" s="295">
        <f t="shared" si="1"/>
        <v>205476</v>
      </c>
      <c r="AD62" s="295">
        <f t="shared" si="1"/>
        <v>0</v>
      </c>
      <c r="AE62" s="295">
        <f t="shared" si="1"/>
        <v>729817</v>
      </c>
      <c r="AF62" s="295">
        <f t="shared" si="1"/>
        <v>0</v>
      </c>
      <c r="AG62" s="295">
        <f t="shared" si="1"/>
        <v>1051814</v>
      </c>
      <c r="AH62" s="295">
        <f t="shared" si="1"/>
        <v>0</v>
      </c>
      <c r="AI62" s="295">
        <f t="shared" si="1"/>
        <v>0</v>
      </c>
      <c r="AJ62" s="295">
        <f t="shared" si="1"/>
        <v>12330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49376</v>
      </c>
      <c r="AW62" s="295">
        <f t="shared" si="1"/>
        <v>0</v>
      </c>
      <c r="AX62" s="295">
        <f t="shared" si="1"/>
        <v>0</v>
      </c>
      <c r="AY62" s="295">
        <f>ROUND(AY47+AY48,0)</f>
        <v>195763</v>
      </c>
      <c r="AZ62" s="295">
        <f>ROUND(AZ47+AZ48,0)</f>
        <v>0</v>
      </c>
      <c r="BA62" s="295">
        <f>ROUND(BA47+BA48,0)</f>
        <v>399</v>
      </c>
      <c r="BB62" s="295">
        <f t="shared" si="1"/>
        <v>105609</v>
      </c>
      <c r="BC62" s="295">
        <f t="shared" si="1"/>
        <v>0</v>
      </c>
      <c r="BD62" s="295">
        <f t="shared" si="1"/>
        <v>101532</v>
      </c>
      <c r="BE62" s="295">
        <f t="shared" si="1"/>
        <v>118566</v>
      </c>
      <c r="BF62" s="295">
        <f t="shared" si="1"/>
        <v>128702</v>
      </c>
      <c r="BG62" s="295">
        <f t="shared" si="1"/>
        <v>0</v>
      </c>
      <c r="BH62" s="295">
        <f t="shared" si="1"/>
        <v>138612</v>
      </c>
      <c r="BI62" s="295">
        <f t="shared" si="1"/>
        <v>110522</v>
      </c>
      <c r="BJ62" s="295">
        <f t="shared" si="1"/>
        <v>0</v>
      </c>
      <c r="BK62" s="295">
        <f t="shared" si="1"/>
        <v>138789</v>
      </c>
      <c r="BL62" s="295">
        <f t="shared" si="1"/>
        <v>109425</v>
      </c>
      <c r="BM62" s="295">
        <f t="shared" si="1"/>
        <v>70356</v>
      </c>
      <c r="BN62" s="295">
        <f t="shared" si="1"/>
        <v>149631</v>
      </c>
      <c r="BO62" s="295">
        <f t="shared" ref="BO62:CC62" si="2">ROUND(BO47+BO48,0)</f>
        <v>22909</v>
      </c>
      <c r="BP62" s="295">
        <f t="shared" si="2"/>
        <v>66312</v>
      </c>
      <c r="BQ62" s="295">
        <f t="shared" si="2"/>
        <v>0</v>
      </c>
      <c r="BR62" s="295">
        <f t="shared" si="2"/>
        <v>137890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63492</v>
      </c>
      <c r="BW62" s="295">
        <f t="shared" si="2"/>
        <v>140565</v>
      </c>
      <c r="BX62" s="295">
        <f t="shared" si="2"/>
        <v>57252</v>
      </c>
      <c r="BY62" s="295">
        <f t="shared" si="2"/>
        <v>189640</v>
      </c>
      <c r="BZ62" s="295">
        <f t="shared" si="2"/>
        <v>0</v>
      </c>
      <c r="CA62" s="295">
        <f t="shared" si="2"/>
        <v>0</v>
      </c>
      <c r="CB62" s="295">
        <f t="shared" si="2"/>
        <v>0</v>
      </c>
      <c r="CC62" s="295">
        <f t="shared" si="2"/>
        <v>0</v>
      </c>
      <c r="CD62" s="305" t="s">
        <v>221</v>
      </c>
      <c r="CE62" s="295">
        <f t="shared" si="0"/>
        <v>7317230</v>
      </c>
      <c r="CF62" s="2"/>
    </row>
    <row r="63" spans="1:84" ht="12.65" customHeight="1" x14ac:dyDescent="0.35">
      <c r="A63" s="302" t="s">
        <v>236</v>
      </c>
      <c r="B63" s="295"/>
      <c r="C63" s="300"/>
      <c r="D63" s="300"/>
      <c r="E63" s="300">
        <f>72309+199</f>
        <v>72508</v>
      </c>
      <c r="F63" s="185"/>
      <c r="G63" s="300"/>
      <c r="H63" s="300"/>
      <c r="I63" s="185"/>
      <c r="J63" s="185"/>
      <c r="K63" s="185"/>
      <c r="L63" s="185"/>
      <c r="M63" s="300"/>
      <c r="N63" s="300"/>
      <c r="O63" s="300">
        <v>937</v>
      </c>
      <c r="P63" s="185">
        <v>0</v>
      </c>
      <c r="Q63" s="185"/>
      <c r="R63" s="185">
        <v>352128</v>
      </c>
      <c r="S63" s="185">
        <v>3470</v>
      </c>
      <c r="T63" s="185"/>
      <c r="U63" s="185">
        <f>613871+33</f>
        <v>613904</v>
      </c>
      <c r="V63" s="185"/>
      <c r="W63" s="185">
        <v>1656</v>
      </c>
      <c r="X63" s="185"/>
      <c r="Y63" s="185">
        <f>104975+316164</f>
        <v>421139</v>
      </c>
      <c r="Z63" s="185"/>
      <c r="AA63" s="185">
        <v>135715</v>
      </c>
      <c r="AB63" s="185">
        <f>82105+49284</f>
        <v>131389</v>
      </c>
      <c r="AC63" s="185">
        <f>57661+80859</f>
        <v>138520</v>
      </c>
      <c r="AD63" s="185"/>
      <c r="AE63" s="185">
        <f>20349</f>
        <v>20349</v>
      </c>
      <c r="AF63" s="185"/>
      <c r="AG63" s="185">
        <f>8422+43567</f>
        <v>51989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19896+40116</f>
        <v>60012</v>
      </c>
      <c r="AW63" s="185"/>
      <c r="AX63" s="185"/>
      <c r="AY63" s="185">
        <v>750</v>
      </c>
      <c r="AZ63" s="185"/>
      <c r="BA63" s="185"/>
      <c r="BB63" s="185">
        <v>11807</v>
      </c>
      <c r="BC63" s="185"/>
      <c r="BD63" s="185"/>
      <c r="BE63" s="185">
        <v>62235</v>
      </c>
      <c r="BF63" s="185">
        <v>3390</v>
      </c>
      <c r="BG63" s="185"/>
      <c r="BH63" s="185"/>
      <c r="BI63" s="185">
        <v>45103</v>
      </c>
      <c r="BJ63" s="185"/>
      <c r="BK63" s="185">
        <f>175780+98614</f>
        <v>274394</v>
      </c>
      <c r="BL63" s="185"/>
      <c r="BM63" s="185">
        <f>87305</f>
        <v>87305</v>
      </c>
      <c r="BN63" s="185">
        <f>196266+67446</f>
        <v>263712</v>
      </c>
      <c r="BO63" s="185"/>
      <c r="BP63" s="185">
        <v>384930</v>
      </c>
      <c r="BQ63" s="185"/>
      <c r="BR63" s="185">
        <f>88668</f>
        <v>88668</v>
      </c>
      <c r="BS63" s="185"/>
      <c r="BT63" s="185"/>
      <c r="BU63" s="185"/>
      <c r="BV63" s="185">
        <v>182457</v>
      </c>
      <c r="BW63" s="185">
        <f>3273+1145445</f>
        <v>1148718</v>
      </c>
      <c r="BX63" s="185">
        <v>36023</v>
      </c>
      <c r="BY63" s="185">
        <v>506</v>
      </c>
      <c r="BZ63" s="185"/>
      <c r="CA63" s="185"/>
      <c r="CB63" s="185"/>
      <c r="CC63" s="185"/>
      <c r="CD63" s="305" t="s">
        <v>221</v>
      </c>
      <c r="CE63" s="295">
        <f t="shared" si="0"/>
        <v>4593714</v>
      </c>
      <c r="CF63" s="2"/>
    </row>
    <row r="64" spans="1:84" ht="12.65" customHeight="1" x14ac:dyDescent="0.35">
      <c r="A64" s="302" t="s">
        <v>237</v>
      </c>
      <c r="B64" s="295"/>
      <c r="C64" s="300">
        <v>56676</v>
      </c>
      <c r="D64" s="300"/>
      <c r="E64" s="185">
        <f>1326+95572</f>
        <v>96898</v>
      </c>
      <c r="F64" s="185"/>
      <c r="G64" s="300"/>
      <c r="H64" s="300"/>
      <c r="I64" s="185"/>
      <c r="J64" s="185"/>
      <c r="K64" s="185"/>
      <c r="L64" s="185"/>
      <c r="M64" s="300"/>
      <c r="N64" s="300"/>
      <c r="O64" s="300">
        <v>103927</v>
      </c>
      <c r="P64" s="185">
        <f>33118+1168680+183713</f>
        <v>1385511</v>
      </c>
      <c r="Q64" s="185"/>
      <c r="R64" s="185">
        <v>119669</v>
      </c>
      <c r="S64" s="185">
        <f>4707034+6404-5</f>
        <v>4713433</v>
      </c>
      <c r="T64" s="185"/>
      <c r="U64" s="185">
        <f>525462+96154</f>
        <v>621616</v>
      </c>
      <c r="V64" s="185">
        <v>8</v>
      </c>
      <c r="W64" s="185">
        <v>3088</v>
      </c>
      <c r="X64" s="185">
        <v>15273</v>
      </c>
      <c r="Y64" s="185">
        <f>1342+5232+112804</f>
        <v>119378</v>
      </c>
      <c r="Z64" s="185"/>
      <c r="AA64" s="185">
        <v>240069</v>
      </c>
      <c r="AB64" s="185">
        <f>3317365+22385</f>
        <v>3339750</v>
      </c>
      <c r="AC64" s="185">
        <f>47524+13773</f>
        <v>61297</v>
      </c>
      <c r="AD64" s="185"/>
      <c r="AE64" s="185">
        <f>75527+2175+7952+3146</f>
        <v>88800</v>
      </c>
      <c r="AF64" s="185"/>
      <c r="AG64" s="185">
        <f>149957+513</f>
        <v>150470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16716+1209</f>
        <v>17925</v>
      </c>
      <c r="AW64" s="185"/>
      <c r="AX64" s="185"/>
      <c r="AY64" s="185">
        <f>6424+634463</f>
        <v>640887</v>
      </c>
      <c r="AZ64" s="185"/>
      <c r="BA64" s="185">
        <v>183</v>
      </c>
      <c r="BB64" s="185">
        <v>4677</v>
      </c>
      <c r="BC64" s="185"/>
      <c r="BD64" s="185">
        <v>9002</v>
      </c>
      <c r="BE64" s="185">
        <v>19697</v>
      </c>
      <c r="BF64" s="185">
        <v>51200</v>
      </c>
      <c r="BG64" s="185"/>
      <c r="BH64" s="185">
        <f>6239+955</f>
        <v>7194</v>
      </c>
      <c r="BI64" s="185">
        <v>6103</v>
      </c>
      <c r="BJ64" s="185"/>
      <c r="BK64" s="185">
        <f>1879+24776</f>
        <v>26655</v>
      </c>
      <c r="BL64" s="185">
        <v>10717</v>
      </c>
      <c r="BM64" s="185">
        <v>5477</v>
      </c>
      <c r="BN64" s="185">
        <f>17527</f>
        <v>17527</v>
      </c>
      <c r="BO64" s="185">
        <f>1361+1430</f>
        <v>2791</v>
      </c>
      <c r="BP64" s="185">
        <f>876</f>
        <v>876</v>
      </c>
      <c r="BQ64" s="185"/>
      <c r="BR64" s="185">
        <v>8471</v>
      </c>
      <c r="BS64" s="185"/>
      <c r="BT64" s="185"/>
      <c r="BU64" s="185"/>
      <c r="BV64" s="185">
        <v>6338</v>
      </c>
      <c r="BW64" s="185">
        <f>458+6022</f>
        <v>6480</v>
      </c>
      <c r="BX64" s="185">
        <v>2895</v>
      </c>
      <c r="BY64" s="185">
        <v>4772</v>
      </c>
      <c r="BZ64" s="185"/>
      <c r="CA64" s="185"/>
      <c r="CB64" s="185"/>
      <c r="CC64" s="185"/>
      <c r="CD64" s="305" t="s">
        <v>221</v>
      </c>
      <c r="CE64" s="295">
        <f t="shared" si="0"/>
        <v>11965730</v>
      </c>
      <c r="CF64" s="2"/>
    </row>
    <row r="65" spans="1:84" ht="12.65" customHeight="1" x14ac:dyDescent="0.35">
      <c r="A65" s="302" t="s">
        <v>238</v>
      </c>
      <c r="B65" s="295"/>
      <c r="C65" s="300">
        <v>480</v>
      </c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>
        <v>440</v>
      </c>
      <c r="P65" s="185">
        <f>960+800</f>
        <v>1760</v>
      </c>
      <c r="Q65" s="185"/>
      <c r="R65" s="185"/>
      <c r="S65" s="185"/>
      <c r="T65" s="185"/>
      <c r="U65" s="185">
        <v>960</v>
      </c>
      <c r="V65" s="185"/>
      <c r="W65" s="185"/>
      <c r="X65" s="185"/>
      <c r="Y65" s="185">
        <v>990</v>
      </c>
      <c r="Z65" s="185"/>
      <c r="AA65" s="185"/>
      <c r="AB65" s="185">
        <v>26270</v>
      </c>
      <c r="AC65" s="185">
        <f>480</f>
        <v>480</v>
      </c>
      <c r="AD65" s="185"/>
      <c r="AE65" s="185">
        <f>28784</f>
        <v>28784</v>
      </c>
      <c r="AF65" s="185"/>
      <c r="AG65" s="185">
        <f>480+480</f>
        <v>960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3200</v>
      </c>
      <c r="BC65" s="185"/>
      <c r="BD65" s="185">
        <v>907</v>
      </c>
      <c r="BE65" s="185">
        <v>490824</v>
      </c>
      <c r="BF65" s="185">
        <v>44223</v>
      </c>
      <c r="BG65" s="185"/>
      <c r="BH65" s="185">
        <f>480+123381</f>
        <v>123861</v>
      </c>
      <c r="BI65" s="185">
        <v>5927</v>
      </c>
      <c r="BJ65" s="185"/>
      <c r="BK65" s="185">
        <f>3067</f>
        <v>3067</v>
      </c>
      <c r="BL65" s="185">
        <v>480</v>
      </c>
      <c r="BM65" s="185">
        <v>10</v>
      </c>
      <c r="BN65" s="185">
        <v>960</v>
      </c>
      <c r="BO65" s="185">
        <f>400</f>
        <v>400</v>
      </c>
      <c r="BP65" s="185">
        <v>480</v>
      </c>
      <c r="BQ65" s="185"/>
      <c r="BR65" s="185"/>
      <c r="BS65" s="185"/>
      <c r="BT65" s="185"/>
      <c r="BU65" s="185"/>
      <c r="BV65" s="185"/>
      <c r="BW65" s="185">
        <f>480+480</f>
        <v>960</v>
      </c>
      <c r="BX65" s="185">
        <v>520</v>
      </c>
      <c r="BY65" s="185">
        <v>1350</v>
      </c>
      <c r="BZ65" s="185"/>
      <c r="CA65" s="185"/>
      <c r="CB65" s="185"/>
      <c r="CC65" s="185"/>
      <c r="CD65" s="305" t="s">
        <v>221</v>
      </c>
      <c r="CE65" s="295">
        <f t="shared" si="0"/>
        <v>738293</v>
      </c>
      <c r="CF65" s="2"/>
    </row>
    <row r="66" spans="1:84" ht="12.65" customHeight="1" x14ac:dyDescent="0.35">
      <c r="A66" s="302" t="s">
        <v>239</v>
      </c>
      <c r="B66" s="295"/>
      <c r="C66" s="300">
        <v>41621</v>
      </c>
      <c r="D66" s="300"/>
      <c r="E66" s="300">
        <f>6027+21808</f>
        <v>27835</v>
      </c>
      <c r="F66" s="300"/>
      <c r="G66" s="300"/>
      <c r="H66" s="300"/>
      <c r="I66" s="300"/>
      <c r="J66" s="300"/>
      <c r="K66" s="185"/>
      <c r="L66" s="185"/>
      <c r="M66" s="300"/>
      <c r="N66" s="300"/>
      <c r="O66" s="185">
        <v>70108</v>
      </c>
      <c r="P66" s="185">
        <f>65+417192+37578</f>
        <v>454835</v>
      </c>
      <c r="Q66" s="185"/>
      <c r="R66" s="185">
        <v>7076</v>
      </c>
      <c r="S66" s="300"/>
      <c r="T66" s="300"/>
      <c r="U66" s="185">
        <v>102671</v>
      </c>
      <c r="V66" s="185"/>
      <c r="W66" s="185">
        <v>153626</v>
      </c>
      <c r="X66" s="185">
        <v>157153</v>
      </c>
      <c r="Y66" s="185">
        <f>39345+241335+3656</f>
        <v>284336</v>
      </c>
      <c r="Z66" s="185"/>
      <c r="AA66" s="185">
        <v>124976</v>
      </c>
      <c r="AB66" s="185">
        <f>16677+9486</f>
        <v>26163</v>
      </c>
      <c r="AC66" s="185">
        <f>10074+3510</f>
        <v>13584</v>
      </c>
      <c r="AD66" s="185"/>
      <c r="AE66" s="185">
        <f>61093</f>
        <v>61093</v>
      </c>
      <c r="AF66" s="185"/>
      <c r="AG66" s="185">
        <f>6237+16592</f>
        <v>22829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1320+534</f>
        <v>1854</v>
      </c>
      <c r="AW66" s="185"/>
      <c r="AX66" s="185"/>
      <c r="AY66" s="185">
        <f>54+22538</f>
        <v>22592</v>
      </c>
      <c r="AZ66" s="185"/>
      <c r="BA66" s="185">
        <v>219371</v>
      </c>
      <c r="BB66" s="185">
        <v>15896</v>
      </c>
      <c r="BC66" s="185"/>
      <c r="BD66" s="185">
        <v>3229</v>
      </c>
      <c r="BE66" s="185">
        <v>184923</v>
      </c>
      <c r="BF66" s="185">
        <v>3129</v>
      </c>
      <c r="BG66" s="185"/>
      <c r="BH66" s="185">
        <f>763535+203660</f>
        <v>967195</v>
      </c>
      <c r="BI66" s="185">
        <v>21587</v>
      </c>
      <c r="BJ66" s="185"/>
      <c r="BK66" s="185">
        <f>58600+208367</f>
        <v>266967</v>
      </c>
      <c r="BL66" s="185">
        <v>529</v>
      </c>
      <c r="BM66" s="185">
        <v>13948</v>
      </c>
      <c r="BN66" s="185">
        <f>103842</f>
        <v>103842</v>
      </c>
      <c r="BO66" s="185"/>
      <c r="BP66" s="185">
        <v>74142</v>
      </c>
      <c r="BQ66" s="185"/>
      <c r="BR66" s="185">
        <v>66129</v>
      </c>
      <c r="BS66" s="185"/>
      <c r="BT66" s="185"/>
      <c r="BU66" s="185"/>
      <c r="BV66" s="185">
        <v>37349</v>
      </c>
      <c r="BW66" s="185">
        <f>17507</f>
        <v>17507</v>
      </c>
      <c r="BX66" s="185">
        <v>44863</v>
      </c>
      <c r="BY66" s="185">
        <v>1652</v>
      </c>
      <c r="BZ66" s="185"/>
      <c r="CA66" s="185"/>
      <c r="CB66" s="185"/>
      <c r="CC66" s="185"/>
      <c r="CD66" s="305" t="s">
        <v>221</v>
      </c>
      <c r="CE66" s="295">
        <f t="shared" si="0"/>
        <v>3614610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43657</v>
      </c>
      <c r="D67" s="295">
        <f>ROUND(D51+D52,0)</f>
        <v>0</v>
      </c>
      <c r="E67" s="295">
        <f t="shared" ref="E67:BP67" si="3">ROUND(E51+E52,0)</f>
        <v>235054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200400</v>
      </c>
      <c r="P67" s="295">
        <f t="shared" si="3"/>
        <v>389934</v>
      </c>
      <c r="Q67" s="295">
        <f t="shared" si="3"/>
        <v>0</v>
      </c>
      <c r="R67" s="295">
        <f t="shared" si="3"/>
        <v>0</v>
      </c>
      <c r="S67" s="295">
        <f t="shared" si="3"/>
        <v>34824</v>
      </c>
      <c r="T67" s="295">
        <f t="shared" si="3"/>
        <v>0</v>
      </c>
      <c r="U67" s="295">
        <f t="shared" si="3"/>
        <v>47432</v>
      </c>
      <c r="V67" s="295">
        <f t="shared" si="3"/>
        <v>7478</v>
      </c>
      <c r="W67" s="295">
        <f t="shared" si="3"/>
        <v>12197</v>
      </c>
      <c r="X67" s="295">
        <f t="shared" si="3"/>
        <v>12632</v>
      </c>
      <c r="Y67" s="295">
        <f t="shared" si="3"/>
        <v>109723</v>
      </c>
      <c r="Z67" s="295">
        <f t="shared" si="3"/>
        <v>0</v>
      </c>
      <c r="AA67" s="295">
        <f t="shared" si="3"/>
        <v>7381</v>
      </c>
      <c r="AB67" s="295">
        <f t="shared" si="3"/>
        <v>18973</v>
      </c>
      <c r="AC67" s="295">
        <f t="shared" si="3"/>
        <v>29935</v>
      </c>
      <c r="AD67" s="295">
        <f t="shared" si="3"/>
        <v>0</v>
      </c>
      <c r="AE67" s="295">
        <f t="shared" si="3"/>
        <v>211411</v>
      </c>
      <c r="AF67" s="295">
        <f t="shared" si="3"/>
        <v>0</v>
      </c>
      <c r="AG67" s="295">
        <f t="shared" si="3"/>
        <v>155195</v>
      </c>
      <c r="AH67" s="295">
        <f t="shared" si="3"/>
        <v>0</v>
      </c>
      <c r="AI67" s="295">
        <f t="shared" si="3"/>
        <v>0</v>
      </c>
      <c r="AJ67" s="295">
        <f t="shared" si="3"/>
        <v>24200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115337</v>
      </c>
      <c r="AZ67" s="295">
        <f>ROUND(AZ51+AZ52,0)</f>
        <v>0</v>
      </c>
      <c r="BA67" s="295">
        <f>ROUND(BA51+BA52,0)</f>
        <v>31315</v>
      </c>
      <c r="BB67" s="295">
        <f t="shared" si="3"/>
        <v>3630</v>
      </c>
      <c r="BC67" s="295">
        <f t="shared" si="3"/>
        <v>0</v>
      </c>
      <c r="BD67" s="295">
        <f t="shared" si="3"/>
        <v>68220</v>
      </c>
      <c r="BE67" s="295">
        <f t="shared" si="3"/>
        <v>318254</v>
      </c>
      <c r="BF67" s="295">
        <f t="shared" si="3"/>
        <v>9075</v>
      </c>
      <c r="BG67" s="295">
        <f t="shared" si="3"/>
        <v>0</v>
      </c>
      <c r="BH67" s="295">
        <f t="shared" si="3"/>
        <v>45181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20957</v>
      </c>
      <c r="BM67" s="295">
        <f t="shared" si="3"/>
        <v>6655</v>
      </c>
      <c r="BN67" s="295">
        <f t="shared" si="3"/>
        <v>86273</v>
      </c>
      <c r="BO67" s="295">
        <f t="shared" si="3"/>
        <v>0</v>
      </c>
      <c r="BP67" s="295">
        <f t="shared" si="3"/>
        <v>6655</v>
      </c>
      <c r="BQ67" s="295">
        <f t="shared" ref="BQ67:CC67" si="4">ROUND(BQ51+BQ52,0)</f>
        <v>0</v>
      </c>
      <c r="BR67" s="295">
        <f t="shared" si="4"/>
        <v>6655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32743</v>
      </c>
      <c r="BW67" s="295">
        <f t="shared" si="4"/>
        <v>3630</v>
      </c>
      <c r="BX67" s="295">
        <f t="shared" si="4"/>
        <v>3630</v>
      </c>
      <c r="BY67" s="295">
        <f t="shared" si="4"/>
        <v>3630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611098</v>
      </c>
      <c r="CD67" s="305" t="s">
        <v>221</v>
      </c>
      <c r="CE67" s="295">
        <f t="shared" si="0"/>
        <v>2913364</v>
      </c>
      <c r="CF67" s="2"/>
    </row>
    <row r="68" spans="1:84" ht="12.65" customHeight="1" x14ac:dyDescent="0.35">
      <c r="A68" s="302" t="s">
        <v>240</v>
      </c>
      <c r="B68" s="295"/>
      <c r="C68" s="300">
        <v>3953</v>
      </c>
      <c r="D68" s="300"/>
      <c r="E68" s="300">
        <v>20944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>
        <v>11978</v>
      </c>
      <c r="P68" s="185">
        <f>42846+18329</f>
        <v>61175</v>
      </c>
      <c r="Q68" s="185"/>
      <c r="R68" s="185"/>
      <c r="S68" s="185">
        <v>56298</v>
      </c>
      <c r="T68" s="185"/>
      <c r="U68" s="185">
        <v>65</v>
      </c>
      <c r="V68" s="185"/>
      <c r="W68" s="185"/>
      <c r="X68" s="185"/>
      <c r="Y68" s="185">
        <v>33134</v>
      </c>
      <c r="Z68" s="185"/>
      <c r="AA68" s="185"/>
      <c r="AB68" s="185">
        <v>129606</v>
      </c>
      <c r="AC68" s="185">
        <v>194</v>
      </c>
      <c r="AD68" s="185"/>
      <c r="AE68" s="185">
        <f>30484</f>
        <v>30484</v>
      </c>
      <c r="AF68" s="185"/>
      <c r="AG68" s="185">
        <v>13176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3182</v>
      </c>
      <c r="AZ68" s="185"/>
      <c r="BA68" s="185"/>
      <c r="BB68" s="185">
        <v>1999</v>
      </c>
      <c r="BC68" s="185"/>
      <c r="BD68" s="185">
        <v>8317</v>
      </c>
      <c r="BE68" s="185">
        <v>10730</v>
      </c>
      <c r="BF68" s="185">
        <v>335</v>
      </c>
      <c r="BG68" s="185"/>
      <c r="BH68" s="185">
        <v>0</v>
      </c>
      <c r="BI68" s="185">
        <v>42785</v>
      </c>
      <c r="BJ68" s="185"/>
      <c r="BK68" s="185">
        <v>53162</v>
      </c>
      <c r="BL68" s="185">
        <v>1341</v>
      </c>
      <c r="BM68" s="185"/>
      <c r="BN68" s="185">
        <f>9956</f>
        <v>9956</v>
      </c>
      <c r="BO68" s="185"/>
      <c r="BP68" s="185">
        <v>0</v>
      </c>
      <c r="BQ68" s="185"/>
      <c r="BR68" s="185"/>
      <c r="BS68" s="185"/>
      <c r="BT68" s="185"/>
      <c r="BU68" s="185"/>
      <c r="BV68" s="185">
        <v>7907</v>
      </c>
      <c r="BW68" s="185"/>
      <c r="BX68" s="185">
        <v>0</v>
      </c>
      <c r="BY68" s="185"/>
      <c r="BZ68" s="185"/>
      <c r="CA68" s="185"/>
      <c r="CB68" s="185"/>
      <c r="CC68" s="185"/>
      <c r="CD68" s="305" t="s">
        <v>221</v>
      </c>
      <c r="CE68" s="295">
        <f t="shared" si="0"/>
        <v>500721</v>
      </c>
      <c r="CF68" s="2"/>
    </row>
    <row r="69" spans="1:84" ht="12.65" customHeight="1" x14ac:dyDescent="0.35">
      <c r="A69" s="302" t="s">
        <v>241</v>
      </c>
      <c r="B69" s="295"/>
      <c r="C69" s="300">
        <v>2792</v>
      </c>
      <c r="D69" s="300"/>
      <c r="E69" s="185">
        <f>1373+35777</f>
        <v>37150</v>
      </c>
      <c r="F69" s="185"/>
      <c r="G69" s="300"/>
      <c r="H69" s="300"/>
      <c r="I69" s="185"/>
      <c r="J69" s="185"/>
      <c r="K69" s="185"/>
      <c r="L69" s="185"/>
      <c r="M69" s="300"/>
      <c r="N69" s="300"/>
      <c r="O69" s="300">
        <v>6150</v>
      </c>
      <c r="P69" s="185">
        <f>18720+4376</f>
        <v>23096</v>
      </c>
      <c r="Q69" s="185"/>
      <c r="R69" s="224">
        <v>41</v>
      </c>
      <c r="S69" s="185">
        <v>96066</v>
      </c>
      <c r="T69" s="300"/>
      <c r="U69" s="185">
        <v>18677</v>
      </c>
      <c r="V69" s="185"/>
      <c r="W69" s="300"/>
      <c r="X69" s="185">
        <v>53</v>
      </c>
      <c r="Y69" s="185">
        <f>12777+5543+7940</f>
        <v>26260</v>
      </c>
      <c r="Z69" s="185"/>
      <c r="AA69" s="185">
        <v>9126</v>
      </c>
      <c r="AB69" s="185">
        <f>12071+13569</f>
        <v>25640</v>
      </c>
      <c r="AC69" s="185">
        <f>2754</f>
        <v>2754</v>
      </c>
      <c r="AD69" s="185"/>
      <c r="AE69" s="185">
        <f>44393+6767+195</f>
        <v>51355</v>
      </c>
      <c r="AF69" s="185"/>
      <c r="AG69" s="185">
        <f>12727+975+77811+27181-8</f>
        <v>118686</v>
      </c>
      <c r="AH69" s="185"/>
      <c r="AI69" s="185"/>
      <c r="AJ69" s="185">
        <v>442</v>
      </c>
      <c r="AK69" s="185"/>
      <c r="AL69" s="185"/>
      <c r="AM69" s="185"/>
      <c r="AN69" s="185"/>
      <c r="AO69" s="300"/>
      <c r="AP69" s="185"/>
      <c r="AQ69" s="300"/>
      <c r="AR69" s="300"/>
      <c r="AS69" s="300"/>
      <c r="AT69" s="300"/>
      <c r="AU69" s="185"/>
      <c r="AV69" s="185">
        <f>43696+39655</f>
        <v>83351</v>
      </c>
      <c r="AW69" s="185"/>
      <c r="AX69" s="185"/>
      <c r="AY69" s="185">
        <f>4035+3618</f>
        <v>7653</v>
      </c>
      <c r="AZ69" s="185"/>
      <c r="BA69" s="185"/>
      <c r="BB69" s="185">
        <f>2495+18389</f>
        <v>20884</v>
      </c>
      <c r="BC69" s="185"/>
      <c r="BD69" s="185">
        <v>2448</v>
      </c>
      <c r="BE69" s="185">
        <v>781</v>
      </c>
      <c r="BF69" s="185">
        <v>2004</v>
      </c>
      <c r="BG69" s="185"/>
      <c r="BH69" s="224">
        <f>398+15679</f>
        <v>16077</v>
      </c>
      <c r="BI69" s="185">
        <v>181502</v>
      </c>
      <c r="BJ69" s="185"/>
      <c r="BK69" s="185">
        <f>309+8567</f>
        <v>8876</v>
      </c>
      <c r="BL69" s="185">
        <v>2654</v>
      </c>
      <c r="BM69" s="185">
        <v>56865</v>
      </c>
      <c r="BN69" s="185">
        <f>12756+269537</f>
        <v>282293</v>
      </c>
      <c r="BO69" s="185">
        <f>1752+282</f>
        <v>2034</v>
      </c>
      <c r="BP69" s="185">
        <v>51494</v>
      </c>
      <c r="BQ69" s="185"/>
      <c r="BR69" s="185">
        <v>73427</v>
      </c>
      <c r="BS69" s="185"/>
      <c r="BT69" s="185"/>
      <c r="BU69" s="185"/>
      <c r="BV69" s="185">
        <v>420</v>
      </c>
      <c r="BW69" s="185">
        <f>17580+53503</f>
        <v>71083</v>
      </c>
      <c r="BX69" s="185">
        <v>21806</v>
      </c>
      <c r="BY69" s="185">
        <v>19399</v>
      </c>
      <c r="BZ69" s="185"/>
      <c r="CA69" s="185"/>
      <c r="CB69" s="185"/>
      <c r="CC69" s="185"/>
      <c r="CD69" s="308">
        <f>1561615-4</f>
        <v>1561611</v>
      </c>
      <c r="CE69" s="295">
        <f t="shared" si="0"/>
        <v>2884950</v>
      </c>
      <c r="CF69" s="2"/>
    </row>
    <row r="70" spans="1:84" ht="12.65" customHeight="1" x14ac:dyDescent="0.35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>
        <v>15422</v>
      </c>
      <c r="P70" s="300">
        <v>7020</v>
      </c>
      <c r="Q70" s="300"/>
      <c r="R70" s="300"/>
      <c r="S70" s="300">
        <v>33342</v>
      </c>
      <c r="T70" s="300"/>
      <c r="U70" s="185"/>
      <c r="V70" s="300"/>
      <c r="W70" s="300"/>
      <c r="X70" s="185"/>
      <c r="Y70" s="185">
        <f>60</f>
        <v>60</v>
      </c>
      <c r="Z70" s="185"/>
      <c r="AA70" s="185"/>
      <c r="AB70" s="185">
        <f>6076+57133</f>
        <v>63209</v>
      </c>
      <c r="AC70" s="185">
        <v>0</v>
      </c>
      <c r="AD70" s="185"/>
      <c r="AE70" s="185">
        <f>37719+36603+2684</f>
        <v>77006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f>2756+440821</f>
        <v>443577</v>
      </c>
      <c r="AW70" s="185"/>
      <c r="AX70" s="185"/>
      <c r="AY70" s="185">
        <v>1585</v>
      </c>
      <c r="AZ70" s="185">
        <v>604044</v>
      </c>
      <c r="BA70" s="185"/>
      <c r="BB70" s="185">
        <v>21875</v>
      </c>
      <c r="BC70" s="185"/>
      <c r="BD70" s="185"/>
      <c r="BE70" s="185"/>
      <c r="BF70" s="185"/>
      <c r="BG70" s="185"/>
      <c r="BH70" s="185">
        <f>7440+15540</f>
        <v>22980</v>
      </c>
      <c r="BI70" s="185"/>
      <c r="BJ70" s="185"/>
      <c r="BK70" s="185"/>
      <c r="BL70" s="185"/>
      <c r="BM70" s="185">
        <f>68057+223474</f>
        <v>291531</v>
      </c>
      <c r="BN70" s="185">
        <f>50000</f>
        <v>50000</v>
      </c>
      <c r="BO70" s="185"/>
      <c r="BP70" s="185">
        <v>16085</v>
      </c>
      <c r="BQ70" s="185"/>
      <c r="BR70" s="185">
        <v>26800</v>
      </c>
      <c r="BS70" s="185"/>
      <c r="BT70" s="185"/>
      <c r="BU70" s="185"/>
      <c r="BV70" s="185">
        <v>11468</v>
      </c>
      <c r="BW70" s="185">
        <f>11275+237924</f>
        <v>249199</v>
      </c>
      <c r="BX70" s="185">
        <v>0</v>
      </c>
      <c r="BY70" s="185">
        <v>23039</v>
      </c>
      <c r="BZ70" s="185"/>
      <c r="CA70" s="185"/>
      <c r="CB70" s="185"/>
      <c r="CC70" s="185"/>
      <c r="CD70" s="308">
        <v>28943</v>
      </c>
      <c r="CE70" s="295">
        <f t="shared" si="0"/>
        <v>1987185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1662774</v>
      </c>
      <c r="D71" s="295">
        <f t="shared" ref="D71:AI71" si="5">SUM(D61:D69)-D70</f>
        <v>0</v>
      </c>
      <c r="E71" s="295">
        <f t="shared" si="5"/>
        <v>4488628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2731315</v>
      </c>
      <c r="P71" s="295">
        <f t="shared" si="5"/>
        <v>7222692</v>
      </c>
      <c r="Q71" s="295">
        <f t="shared" si="5"/>
        <v>0</v>
      </c>
      <c r="R71" s="295">
        <f t="shared" si="5"/>
        <v>478914</v>
      </c>
      <c r="S71" s="295">
        <f t="shared" si="5"/>
        <v>4870749</v>
      </c>
      <c r="T71" s="295">
        <f t="shared" si="5"/>
        <v>0</v>
      </c>
      <c r="U71" s="295">
        <f t="shared" si="5"/>
        <v>2643619</v>
      </c>
      <c r="V71" s="295">
        <f t="shared" si="5"/>
        <v>7486</v>
      </c>
      <c r="W71" s="295">
        <f t="shared" si="5"/>
        <v>587180</v>
      </c>
      <c r="X71" s="295">
        <f t="shared" si="5"/>
        <v>269621</v>
      </c>
      <c r="Y71" s="295">
        <f t="shared" si="5"/>
        <v>2980818</v>
      </c>
      <c r="Z71" s="295">
        <f t="shared" si="5"/>
        <v>0</v>
      </c>
      <c r="AA71" s="295">
        <f t="shared" si="5"/>
        <v>789006</v>
      </c>
      <c r="AB71" s="295">
        <f t="shared" si="5"/>
        <v>4520472</v>
      </c>
      <c r="AC71" s="295">
        <f t="shared" si="5"/>
        <v>1372896</v>
      </c>
      <c r="AD71" s="295">
        <f t="shared" si="5"/>
        <v>0</v>
      </c>
      <c r="AE71" s="295">
        <f t="shared" si="5"/>
        <v>4415111</v>
      </c>
      <c r="AF71" s="295">
        <f t="shared" si="5"/>
        <v>0</v>
      </c>
      <c r="AG71" s="295">
        <f t="shared" si="5"/>
        <v>6277890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92217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-9825</v>
      </c>
      <c r="AW71" s="295">
        <f t="shared" si="6"/>
        <v>0</v>
      </c>
      <c r="AX71" s="295">
        <f t="shared" si="6"/>
        <v>0</v>
      </c>
      <c r="AY71" s="295">
        <f t="shared" si="6"/>
        <v>1861718</v>
      </c>
      <c r="AZ71" s="295">
        <f t="shared" si="6"/>
        <v>-604044</v>
      </c>
      <c r="BA71" s="295">
        <f t="shared" si="6"/>
        <v>253057</v>
      </c>
      <c r="BB71" s="295">
        <f t="shared" si="6"/>
        <v>619019</v>
      </c>
      <c r="BC71" s="295">
        <f t="shared" si="6"/>
        <v>0</v>
      </c>
      <c r="BD71" s="295">
        <f t="shared" si="6"/>
        <v>648581</v>
      </c>
      <c r="BE71" s="295">
        <f t="shared" si="6"/>
        <v>1737260</v>
      </c>
      <c r="BF71" s="295">
        <f t="shared" si="6"/>
        <v>818723</v>
      </c>
      <c r="BG71" s="295">
        <f t="shared" si="6"/>
        <v>0</v>
      </c>
      <c r="BH71" s="295">
        <f t="shared" si="6"/>
        <v>1896207</v>
      </c>
      <c r="BI71" s="295">
        <f t="shared" si="6"/>
        <v>908734</v>
      </c>
      <c r="BJ71" s="295">
        <f t="shared" si="6"/>
        <v>0</v>
      </c>
      <c r="BK71" s="295">
        <f t="shared" si="6"/>
        <v>1393769</v>
      </c>
      <c r="BL71" s="295">
        <f t="shared" si="6"/>
        <v>636392</v>
      </c>
      <c r="BM71" s="295">
        <f t="shared" si="6"/>
        <v>264325</v>
      </c>
      <c r="BN71" s="295">
        <f t="shared" si="6"/>
        <v>1534633</v>
      </c>
      <c r="BO71" s="295">
        <f t="shared" si="6"/>
        <v>130780</v>
      </c>
      <c r="BP71" s="295">
        <f t="shared" ref="BP71:CC71" si="7">SUM(BP61:BP69)-BP70</f>
        <v>865921</v>
      </c>
      <c r="BQ71" s="295">
        <f t="shared" si="7"/>
        <v>0</v>
      </c>
      <c r="BR71" s="295">
        <f t="shared" si="7"/>
        <v>972272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603722</v>
      </c>
      <c r="BW71" s="295">
        <f t="shared" si="7"/>
        <v>1769561</v>
      </c>
      <c r="BX71" s="295">
        <f t="shared" si="7"/>
        <v>423513</v>
      </c>
      <c r="BY71" s="295">
        <f t="shared" si="7"/>
        <v>1047611</v>
      </c>
      <c r="BZ71" s="295">
        <f t="shared" si="7"/>
        <v>0</v>
      </c>
      <c r="CA71" s="295">
        <f t="shared" si="7"/>
        <v>0</v>
      </c>
      <c r="CB71" s="295">
        <f t="shared" si="7"/>
        <v>0</v>
      </c>
      <c r="CC71" s="295">
        <f t="shared" si="7"/>
        <v>611098</v>
      </c>
      <c r="CD71" s="301">
        <f>CD69-CD70</f>
        <v>1532668</v>
      </c>
      <c r="CE71" s="295">
        <f>SUM(CE61:CE69)-CE70</f>
        <v>65327083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2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>
        <v>1239438</v>
      </c>
      <c r="CF72" s="2"/>
    </row>
    <row r="73" spans="1:84" ht="12.65" customHeight="1" x14ac:dyDescent="0.35">
      <c r="A73" s="302" t="s">
        <v>245</v>
      </c>
      <c r="B73" s="295"/>
      <c r="C73" s="300">
        <v>1331350</v>
      </c>
      <c r="D73" s="300"/>
      <c r="E73" s="185">
        <f>521482+2782658+143096</f>
        <v>3447236</v>
      </c>
      <c r="F73" s="185"/>
      <c r="G73" s="300"/>
      <c r="H73" s="300"/>
      <c r="I73" s="185"/>
      <c r="J73" s="185">
        <v>487460</v>
      </c>
      <c r="K73" s="185"/>
      <c r="L73" s="185">
        <v>221681</v>
      </c>
      <c r="M73" s="300"/>
      <c r="N73" s="300"/>
      <c r="O73" s="300">
        <v>2283606</v>
      </c>
      <c r="P73" s="185">
        <f>462081+5348812+26791</f>
        <v>5837684</v>
      </c>
      <c r="Q73" s="185"/>
      <c r="R73" s="185">
        <v>1207351</v>
      </c>
      <c r="S73" s="185">
        <f>7633727+1241138-2</f>
        <v>8874863</v>
      </c>
      <c r="T73" s="185"/>
      <c r="U73" s="185">
        <f>41632+1510523</f>
        <v>1552155</v>
      </c>
      <c r="V73" s="185">
        <v>41296</v>
      </c>
      <c r="W73" s="185">
        <v>94647</v>
      </c>
      <c r="X73" s="185">
        <v>267303</v>
      </c>
      <c r="Y73" s="185">
        <f>559324+128748</f>
        <v>688072</v>
      </c>
      <c r="Z73" s="185"/>
      <c r="AA73" s="185">
        <v>61937</v>
      </c>
      <c r="AB73" s="185">
        <v>3841316</v>
      </c>
      <c r="AC73" s="185">
        <f>1127376</f>
        <v>1127376</v>
      </c>
      <c r="AD73" s="185"/>
      <c r="AE73" s="185">
        <f>578346</f>
        <v>578346</v>
      </c>
      <c r="AF73" s="185"/>
      <c r="AG73" s="185">
        <f>88285+125808</f>
        <v>214093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32157772</v>
      </c>
      <c r="CF73" s="2"/>
    </row>
    <row r="74" spans="1:84" ht="12.65" customHeight="1" x14ac:dyDescent="0.35">
      <c r="A74" s="302" t="s">
        <v>246</v>
      </c>
      <c r="B74" s="295"/>
      <c r="C74" s="300">
        <v>1109434</v>
      </c>
      <c r="D74" s="300"/>
      <c r="E74" s="185">
        <f>1833791+353092+225222+94127</f>
        <v>2506232</v>
      </c>
      <c r="F74" s="185"/>
      <c r="G74" s="300"/>
      <c r="H74" s="300"/>
      <c r="I74" s="300"/>
      <c r="J74" s="185"/>
      <c r="K74" s="185"/>
      <c r="L74" s="185"/>
      <c r="M74" s="300"/>
      <c r="N74" s="300"/>
      <c r="O74" s="300">
        <v>471971</v>
      </c>
      <c r="P74" s="185">
        <f>2576699+8633986+942713</f>
        <v>12153398</v>
      </c>
      <c r="Q74" s="185"/>
      <c r="R74" s="185">
        <v>2749094</v>
      </c>
      <c r="S74" s="185">
        <f>8046352+334519-3</f>
        <v>8380868</v>
      </c>
      <c r="T74" s="185"/>
      <c r="U74" s="185">
        <f>8691004+109086</f>
        <v>8800090</v>
      </c>
      <c r="V74" s="185">
        <v>479371</v>
      </c>
      <c r="W74" s="185">
        <v>6201795</v>
      </c>
      <c r="X74" s="185">
        <v>8723173</v>
      </c>
      <c r="Y74" s="185">
        <f>1108713+5952225+3307054</f>
        <v>10367992</v>
      </c>
      <c r="Z74" s="185"/>
      <c r="AA74" s="185">
        <v>2059918</v>
      </c>
      <c r="AB74" s="185">
        <v>14477231</v>
      </c>
      <c r="AC74" s="185">
        <f>957944+1705359+347575</f>
        <v>3010878</v>
      </c>
      <c r="AD74" s="185"/>
      <c r="AE74" s="185">
        <f>3948177+322388+395257</f>
        <v>4665822</v>
      </c>
      <c r="AF74" s="185"/>
      <c r="AG74" s="185">
        <f>8726840+46801+5386310</f>
        <v>14159951</v>
      </c>
      <c r="AH74" s="185"/>
      <c r="AI74" s="185"/>
      <c r="AJ74" s="185">
        <v>94213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100411431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2440784</v>
      </c>
      <c r="D75" s="295">
        <f t="shared" si="9"/>
        <v>0</v>
      </c>
      <c r="E75" s="295">
        <f t="shared" si="9"/>
        <v>5953468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487460</v>
      </c>
      <c r="K75" s="295">
        <f t="shared" si="9"/>
        <v>0</v>
      </c>
      <c r="L75" s="295">
        <f t="shared" si="9"/>
        <v>221681</v>
      </c>
      <c r="M75" s="295">
        <f t="shared" si="9"/>
        <v>0</v>
      </c>
      <c r="N75" s="295">
        <f t="shared" si="9"/>
        <v>0</v>
      </c>
      <c r="O75" s="295">
        <f t="shared" si="9"/>
        <v>2755577</v>
      </c>
      <c r="P75" s="295">
        <f t="shared" si="9"/>
        <v>17991082</v>
      </c>
      <c r="Q75" s="295">
        <f t="shared" si="9"/>
        <v>0</v>
      </c>
      <c r="R75" s="295">
        <f t="shared" si="9"/>
        <v>3956445</v>
      </c>
      <c r="S75" s="295">
        <f t="shared" si="9"/>
        <v>17255731</v>
      </c>
      <c r="T75" s="295">
        <f t="shared" si="9"/>
        <v>0</v>
      </c>
      <c r="U75" s="295">
        <f t="shared" si="9"/>
        <v>10352245</v>
      </c>
      <c r="V75" s="295">
        <f t="shared" si="9"/>
        <v>520667</v>
      </c>
      <c r="W75" s="295">
        <f t="shared" si="9"/>
        <v>6296442</v>
      </c>
      <c r="X75" s="295">
        <f t="shared" si="9"/>
        <v>8990476</v>
      </c>
      <c r="Y75" s="295">
        <f t="shared" si="9"/>
        <v>11056064</v>
      </c>
      <c r="Z75" s="295">
        <f t="shared" si="9"/>
        <v>0</v>
      </c>
      <c r="AA75" s="295">
        <f t="shared" si="9"/>
        <v>2121855</v>
      </c>
      <c r="AB75" s="295">
        <f t="shared" si="9"/>
        <v>18318547</v>
      </c>
      <c r="AC75" s="295">
        <f t="shared" si="9"/>
        <v>4138254</v>
      </c>
      <c r="AD75" s="295">
        <f t="shared" si="9"/>
        <v>0</v>
      </c>
      <c r="AE75" s="295">
        <f t="shared" si="9"/>
        <v>5244168</v>
      </c>
      <c r="AF75" s="295">
        <f t="shared" si="9"/>
        <v>0</v>
      </c>
      <c r="AG75" s="295">
        <f t="shared" si="9"/>
        <v>14374044</v>
      </c>
      <c r="AH75" s="295">
        <f t="shared" si="9"/>
        <v>0</v>
      </c>
      <c r="AI75" s="295">
        <f t="shared" si="9"/>
        <v>0</v>
      </c>
      <c r="AJ75" s="295">
        <f t="shared" si="9"/>
        <v>94213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132569203</v>
      </c>
      <c r="CF75" s="2"/>
    </row>
    <row r="76" spans="1:84" ht="12.65" customHeight="1" x14ac:dyDescent="0.35">
      <c r="A76" s="302" t="s">
        <v>248</v>
      </c>
      <c r="B76" s="295"/>
      <c r="C76" s="300">
        <v>1804</v>
      </c>
      <c r="D76" s="300"/>
      <c r="E76" s="185">
        <v>9713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>
        <v>8281</v>
      </c>
      <c r="P76" s="185">
        <f>11113+5000</f>
        <v>16113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300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f>20252+5000</f>
        <v>25252</v>
      </c>
      <c r="CD76" s="305" t="s">
        <v>221</v>
      </c>
      <c r="CE76" s="295">
        <f t="shared" si="8"/>
        <v>120387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f>1138.56+2529</f>
        <v>3667.56</v>
      </c>
      <c r="D77" s="300"/>
      <c r="E77" s="300">
        <f>1903.92+6824</f>
        <v>8727.92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>
        <f>1390.74+3488</f>
        <v>4878.74</v>
      </c>
      <c r="P77" s="300">
        <f>1766.3+852</f>
        <v>2618.3000000000002</v>
      </c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>
        <f>288+1295.84</f>
        <v>1583.84</v>
      </c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21476.36</v>
      </c>
      <c r="CF77" s="295">
        <f>AY59-CE77</f>
        <v>9.9999999983992893E-3</v>
      </c>
    </row>
    <row r="78" spans="1:84" ht="12.65" customHeight="1" x14ac:dyDescent="0.35">
      <c r="A78" s="302" t="s">
        <v>250</v>
      </c>
      <c r="B78" s="295"/>
      <c r="C78" s="300">
        <v>929</v>
      </c>
      <c r="D78" s="300"/>
      <c r="E78" s="300">
        <f>3714+45</f>
        <v>3759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>
        <v>2786</v>
      </c>
      <c r="P78" s="300">
        <f>2167+47</f>
        <v>2214</v>
      </c>
      <c r="Q78" s="300"/>
      <c r="R78" s="300"/>
      <c r="S78" s="300"/>
      <c r="T78" s="300"/>
      <c r="U78" s="300">
        <v>929</v>
      </c>
      <c r="V78" s="300">
        <v>79</v>
      </c>
      <c r="W78" s="300">
        <v>130</v>
      </c>
      <c r="X78" s="300">
        <v>134</v>
      </c>
      <c r="Y78" s="300">
        <f>1548</f>
        <v>1548</v>
      </c>
      <c r="Z78" s="300"/>
      <c r="AA78" s="300">
        <v>78</v>
      </c>
      <c r="AB78" s="300">
        <v>202</v>
      </c>
      <c r="AC78" s="300">
        <v>318</v>
      </c>
      <c r="AD78" s="300"/>
      <c r="AE78" s="300">
        <v>2786</v>
      </c>
      <c r="AF78" s="300"/>
      <c r="AG78" s="300">
        <v>2786</v>
      </c>
      <c r="AH78" s="300"/>
      <c r="AI78" s="300"/>
      <c r="AJ78" s="300">
        <v>157</v>
      </c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>
        <v>333</v>
      </c>
      <c r="BB78" s="300">
        <v>40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310</v>
      </c>
      <c r="BI78" s="300"/>
      <c r="BJ78" s="305" t="s">
        <v>221</v>
      </c>
      <c r="BK78" s="300"/>
      <c r="BL78" s="300">
        <v>223</v>
      </c>
      <c r="BM78" s="300">
        <v>70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>
        <v>348</v>
      </c>
      <c r="BW78" s="300">
        <v>39</v>
      </c>
      <c r="BX78" s="300">
        <v>40</v>
      </c>
      <c r="BY78" s="300">
        <v>40</v>
      </c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20278</v>
      </c>
      <c r="CF78" s="295"/>
    </row>
    <row r="79" spans="1:84" ht="12.65" customHeight="1" x14ac:dyDescent="0.35">
      <c r="A79" s="302" t="s">
        <v>251</v>
      </c>
      <c r="B79" s="295"/>
      <c r="C79" s="309">
        <v>20951</v>
      </c>
      <c r="D79" s="309"/>
      <c r="E79" s="300">
        <v>62854</v>
      </c>
      <c r="F79" s="300"/>
      <c r="G79" s="300"/>
      <c r="H79" s="300"/>
      <c r="I79" s="300"/>
      <c r="J79" s="300">
        <v>24443</v>
      </c>
      <c r="K79" s="300"/>
      <c r="L79" s="300"/>
      <c r="M79" s="300"/>
      <c r="N79" s="300"/>
      <c r="O79" s="300">
        <v>48886</v>
      </c>
      <c r="P79" s="300">
        <v>62854</v>
      </c>
      <c r="Q79" s="300"/>
      <c r="R79" s="300"/>
      <c r="S79" s="300"/>
      <c r="T79" s="300"/>
      <c r="U79" s="300">
        <v>10476</v>
      </c>
      <c r="V79" s="300"/>
      <c r="W79" s="300"/>
      <c r="X79" s="300"/>
      <c r="Y79" s="300">
        <v>13967</v>
      </c>
      <c r="Z79" s="300"/>
      <c r="AA79" s="300"/>
      <c r="AB79" s="300"/>
      <c r="AC79" s="300">
        <v>17459</v>
      </c>
      <c r="AD79" s="300"/>
      <c r="AE79" s="300">
        <v>71779</v>
      </c>
      <c r="AF79" s="300"/>
      <c r="AG79" s="300">
        <v>62854</v>
      </c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396523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f>22181.75/2080</f>
        <v>10.664302884615385</v>
      </c>
      <c r="D80" s="187"/>
      <c r="E80" s="187">
        <f>31879.088/2080</f>
        <v>15.326484615384615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31602.2/2080</f>
        <v>15.193365384615385</v>
      </c>
      <c r="P80" s="187">
        <f>52012.221/2080</f>
        <v>25.00587548076923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32185.464/2080</f>
        <v>15.473780769230769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10"/>
      <c r="BV80" s="310"/>
      <c r="BW80" s="310"/>
      <c r="BX80" s="310"/>
      <c r="BY80" s="310"/>
      <c r="BZ80" s="310"/>
      <c r="CA80" s="310"/>
      <c r="CB80" s="310"/>
      <c r="CC80" s="305" t="s">
        <v>221</v>
      </c>
      <c r="CD80" s="305" t="s">
        <v>221</v>
      </c>
      <c r="CE80" s="311">
        <f t="shared" si="8"/>
        <v>81.663809134615391</v>
      </c>
      <c r="CF80" s="311"/>
    </row>
    <row r="81" spans="1:84" ht="21" customHeight="1" x14ac:dyDescent="0.35">
      <c r="A81" s="312" t="s">
        <v>253</v>
      </c>
      <c r="B81" s="312"/>
      <c r="C81" s="312"/>
      <c r="D81" s="312"/>
      <c r="E81" s="31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3"/>
      <c r="C82" s="314" t="s">
        <v>1267</v>
      </c>
      <c r="D82" s="315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3" t="s">
        <v>256</v>
      </c>
      <c r="C83" s="316" t="s">
        <v>1268</v>
      </c>
      <c r="D83" s="315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3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3"/>
      <c r="C85" s="27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3" t="s">
        <v>256</v>
      </c>
      <c r="C86" s="27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3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3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3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3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3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3" t="s">
        <v>256</v>
      </c>
      <c r="C92" s="269" t="s">
        <v>1276</v>
      </c>
      <c r="D92" s="315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3" t="s">
        <v>256</v>
      </c>
      <c r="C93" s="269" t="s">
        <v>1277</v>
      </c>
      <c r="D93" s="315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2" t="s">
        <v>265</v>
      </c>
      <c r="B95" s="312"/>
      <c r="C95" s="312"/>
      <c r="D95" s="312"/>
      <c r="E95" s="3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7" t="s">
        <v>266</v>
      </c>
      <c r="B96" s="317"/>
      <c r="C96" s="317"/>
      <c r="D96" s="317"/>
      <c r="E96" s="31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3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3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3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7" t="s">
        <v>269</v>
      </c>
      <c r="B100" s="317"/>
      <c r="C100" s="317"/>
      <c r="D100" s="317"/>
      <c r="E100" s="3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3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3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7" t="s">
        <v>271</v>
      </c>
      <c r="B103" s="317"/>
      <c r="C103" s="317"/>
      <c r="D103" s="317"/>
      <c r="E103" s="31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3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3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3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3"/>
      <c r="C107" s="318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9" t="s">
        <v>275</v>
      </c>
      <c r="B108" s="312"/>
      <c r="C108" s="312"/>
      <c r="D108" s="312"/>
      <c r="E108" s="3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3"/>
      <c r="C109" s="318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3" t="s">
        <v>256</v>
      </c>
      <c r="C111" s="320">
        <f>1289-24+13</f>
        <v>1278</v>
      </c>
      <c r="D111" s="299">
        <f>4343-181-711</f>
        <v>3451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3" t="s">
        <v>256</v>
      </c>
      <c r="C112" s="189">
        <v>24</v>
      </c>
      <c r="D112" s="174">
        <v>181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3" t="s">
        <v>256</v>
      </c>
      <c r="C113" s="189">
        <v>0</v>
      </c>
      <c r="D113" s="174">
        <v>0</v>
      </c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3" t="s">
        <v>256</v>
      </c>
      <c r="C114" s="189">
        <v>358</v>
      </c>
      <c r="D114" s="174">
        <v>711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3" t="s">
        <v>256</v>
      </c>
      <c r="C116" s="189">
        <v>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3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3" t="s">
        <v>256</v>
      </c>
      <c r="C118" s="189">
        <v>13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3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3" t="s">
        <v>256</v>
      </c>
      <c r="C120" s="189">
        <v>8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3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3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3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3"/>
      <c r="C124" s="189">
        <v>2</v>
      </c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3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3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3" t="s">
        <v>256</v>
      </c>
      <c r="C128" s="189">
        <v>42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3" t="s">
        <v>256</v>
      </c>
      <c r="C129" s="189">
        <v>8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3" t="s">
        <v>256</v>
      </c>
      <c r="C131" s="189">
        <v>221681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2" t="s">
        <v>1239</v>
      </c>
      <c r="B136" s="319"/>
      <c r="C136" s="319"/>
      <c r="D136" s="319"/>
      <c r="E136" s="3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299">
        <f>541-23+13+20</f>
        <v>551</v>
      </c>
      <c r="C138" s="320">
        <v>241</v>
      </c>
      <c r="D138" s="299">
        <f>1278-792</f>
        <v>486</v>
      </c>
      <c r="E138" s="295">
        <f>SUM(B138:D138)</f>
        <v>1278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299">
        <f>1689-177+69+44</f>
        <v>1625</v>
      </c>
      <c r="C139" s="320">
        <v>557</v>
      </c>
      <c r="D139" s="299">
        <f>3451-2182</f>
        <v>1269</v>
      </c>
      <c r="E139" s="295">
        <f>SUM(B139:D139)</f>
        <v>3451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299">
        <v>20528</v>
      </c>
      <c r="C140" s="299">
        <v>10253</v>
      </c>
      <c r="D140" s="299">
        <f>82142-30781</f>
        <v>51361</v>
      </c>
      <c r="E140" s="295">
        <f>SUM(B140:D140)</f>
        <v>82142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f>835147+15789839-209327</f>
        <v>16415659</v>
      </c>
      <c r="C141" s="189">
        <f>417242+150120+1711654+441574</f>
        <v>2720590</v>
      </c>
      <c r="D141" s="174">
        <f>32157772-19345576-12354</f>
        <v>12799842</v>
      </c>
      <c r="E141" s="295">
        <f>SUM(B141:D141)</f>
        <v>31936091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f>3533490+27410699</f>
        <v>30944189</v>
      </c>
      <c r="C142" s="189">
        <f>1174765+723061+7931810+2448299</f>
        <v>12277935</v>
      </c>
      <c r="D142" s="174">
        <f>100411431-43222124</f>
        <v>57189307</v>
      </c>
      <c r="E142" s="295">
        <f>SUM(B142:D142)</f>
        <v>100411431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>
        <v>23</v>
      </c>
      <c r="C144" s="189">
        <v>0</v>
      </c>
      <c r="D144" s="174">
        <v>1</v>
      </c>
      <c r="E144" s="295">
        <f>SUM(B144:D144)</f>
        <v>24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>
        <f>181-4</f>
        <v>177</v>
      </c>
      <c r="C145" s="189">
        <v>0</v>
      </c>
      <c r="D145" s="174">
        <v>4</v>
      </c>
      <c r="E145" s="295">
        <f>SUM(B145:D145)</f>
        <v>181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>
        <v>0</v>
      </c>
      <c r="C146" s="189">
        <v>0</v>
      </c>
      <c r="D146" s="174">
        <v>0</v>
      </c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299">
        <f>221681-12354</f>
        <v>209327</v>
      </c>
      <c r="C147" s="320">
        <v>0</v>
      </c>
      <c r="D147" s="299">
        <f>12354</f>
        <v>12354</v>
      </c>
      <c r="E147" s="295">
        <f>SUM(B147:D147)</f>
        <v>221681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>
        <v>0</v>
      </c>
      <c r="C148" s="189">
        <v>0</v>
      </c>
      <c r="D148" s="174">
        <v>0</v>
      </c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>
        <v>0</v>
      </c>
      <c r="C150" s="189">
        <v>0</v>
      </c>
      <c r="D150" s="174">
        <v>0</v>
      </c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>
        <v>0</v>
      </c>
      <c r="C151" s="189">
        <v>0</v>
      </c>
      <c r="D151" s="174">
        <v>0</v>
      </c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>
        <v>0</v>
      </c>
      <c r="C152" s="189">
        <v>0</v>
      </c>
      <c r="D152" s="174">
        <v>0</v>
      </c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>
        <v>0</v>
      </c>
      <c r="C153" s="189">
        <v>0</v>
      </c>
      <c r="D153" s="174">
        <v>0</v>
      </c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>
        <v>0</v>
      </c>
      <c r="C154" s="189">
        <v>0</v>
      </c>
      <c r="D154" s="174">
        <v>0</v>
      </c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5"/>
      <c r="D155" s="326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1" t="s">
        <v>301</v>
      </c>
      <c r="B156" s="322" t="s">
        <v>302</v>
      </c>
      <c r="C156" s="323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>
        <f>6624616-237924</f>
        <v>6386692</v>
      </c>
      <c r="C157" s="174">
        <f>6062552-237924</f>
        <v>5824628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6"/>
      <c r="C158" s="325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5"/>
      <c r="D159" s="326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5"/>
      <c r="D160" s="326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5"/>
      <c r="D161" s="326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5"/>
      <c r="D162" s="326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9" t="s">
        <v>305</v>
      </c>
      <c r="B163" s="312"/>
      <c r="C163" s="312"/>
      <c r="D163" s="312"/>
      <c r="E163" s="31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7" t="s">
        <v>306</v>
      </c>
      <c r="B164" s="317"/>
      <c r="C164" s="317"/>
      <c r="D164" s="317"/>
      <c r="E164" s="3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3" t="s">
        <v>256</v>
      </c>
      <c r="C165" s="189">
        <v>2249700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3" t="s">
        <v>256</v>
      </c>
      <c r="C166" s="189">
        <v>9060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3" t="s">
        <v>256</v>
      </c>
      <c r="C167" s="189">
        <f>174498</f>
        <v>174498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3" t="s">
        <v>256</v>
      </c>
      <c r="C168" s="189">
        <f>2558089+271386+9620+228750</f>
        <v>3067845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3" t="s">
        <v>256</v>
      </c>
      <c r="C169" s="189">
        <f>26926</f>
        <v>26926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3" t="s">
        <v>256</v>
      </c>
      <c r="C170" s="189">
        <f>982079</f>
        <v>982079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3" t="s">
        <v>256</v>
      </c>
      <c r="C171" s="189">
        <v>97375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3" t="s">
        <v>256</v>
      </c>
      <c r="C172" s="189">
        <f>7317229-6378733-228750</f>
        <v>709746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7317229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7" t="s">
        <v>314</v>
      </c>
      <c r="B174" s="317"/>
      <c r="C174" s="317"/>
      <c r="D174" s="317"/>
      <c r="E174" s="31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3" t="s">
        <v>256</v>
      </c>
      <c r="C175" s="189">
        <v>134539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3" t="s">
        <v>256</v>
      </c>
      <c r="C176" s="189">
        <f>500721-134539</f>
        <v>366182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500721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7" t="s">
        <v>317</v>
      </c>
      <c r="B178" s="317"/>
      <c r="C178" s="317"/>
      <c r="D178" s="317"/>
      <c r="E178" s="31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3" t="s">
        <v>256</v>
      </c>
      <c r="C179" s="189">
        <v>161802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3" t="s">
        <v>256</v>
      </c>
      <c r="C180" s="189">
        <f>114561-4</f>
        <v>114557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276359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7" t="s">
        <v>320</v>
      </c>
      <c r="B182" s="317"/>
      <c r="C182" s="317"/>
      <c r="D182" s="317"/>
      <c r="E182" s="31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3" t="s">
        <v>256</v>
      </c>
      <c r="C183" s="189"/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3" t="s">
        <v>256</v>
      </c>
      <c r="C184" s="189">
        <v>742399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3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742399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7" t="s">
        <v>323</v>
      </c>
      <c r="B187" s="317"/>
      <c r="C187" s="317"/>
      <c r="D187" s="317"/>
      <c r="E187" s="31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3" t="s">
        <v>256</v>
      </c>
      <c r="C188" s="189">
        <f>473+396720+19280</f>
        <v>416473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3" t="s">
        <v>256</v>
      </c>
      <c r="C189" s="189">
        <f>542853-493869+77396</f>
        <v>126380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542853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2" t="s">
        <v>326</v>
      </c>
      <c r="B192" s="312"/>
      <c r="C192" s="312"/>
      <c r="D192" s="312"/>
      <c r="E192" s="31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9" t="s">
        <v>327</v>
      </c>
      <c r="B193" s="312"/>
      <c r="C193" s="312"/>
      <c r="D193" s="312"/>
      <c r="E193" s="31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1813305</v>
      </c>
      <c r="C195" s="189"/>
      <c r="D195" s="174"/>
      <c r="E195" s="295">
        <f t="shared" ref="E195:E203" si="10">SUM(B195:C195)-D195</f>
        <v>1813305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3708942</v>
      </c>
      <c r="C196" s="189">
        <v>32341</v>
      </c>
      <c r="D196" s="174"/>
      <c r="E196" s="295">
        <f t="shared" si="10"/>
        <v>3741283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15123142.82</v>
      </c>
      <c r="C197" s="189">
        <f>2128326+697511</f>
        <v>2825837</v>
      </c>
      <c r="D197" s="174">
        <v>18025</v>
      </c>
      <c r="E197" s="295">
        <f t="shared" si="10"/>
        <v>17930954.82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14617899.35</v>
      </c>
      <c r="C198" s="189">
        <v>721438</v>
      </c>
      <c r="D198" s="174"/>
      <c r="E198" s="295">
        <f t="shared" si="10"/>
        <v>15339337.35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1041213.2</v>
      </c>
      <c r="C199" s="189">
        <v>69829</v>
      </c>
      <c r="D199" s="174"/>
      <c r="E199" s="295">
        <f t="shared" si="10"/>
        <v>1111042.2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15505877.58</v>
      </c>
      <c r="C200" s="189">
        <f>1143942+236885+102813</f>
        <v>1483640</v>
      </c>
      <c r="D200" s="174">
        <f>1122467+68025+84515</f>
        <v>1275007</v>
      </c>
      <c r="E200" s="295">
        <f t="shared" si="10"/>
        <v>15714510.579999998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0</v>
      </c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2278916</v>
      </c>
      <c r="C203" s="189">
        <v>3130832</v>
      </c>
      <c r="D203" s="174">
        <v>4261540</v>
      </c>
      <c r="E203" s="295">
        <f t="shared" si="10"/>
        <v>1148208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54089295.950000003</v>
      </c>
      <c r="C204" s="303">
        <f>SUM(C195:C203)</f>
        <v>8263917</v>
      </c>
      <c r="D204" s="295">
        <f>SUM(D195:D203)</f>
        <v>5554572</v>
      </c>
      <c r="E204" s="295">
        <f>SUM(E195:E203)</f>
        <v>56798640.950000003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9" t="s">
        <v>341</v>
      </c>
      <c r="B206" s="319"/>
      <c r="C206" s="319"/>
      <c r="D206" s="319"/>
      <c r="E206" s="3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6"/>
      <c r="C208" s="325"/>
      <c r="D208" s="326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1755214.23</v>
      </c>
      <c r="C209" s="189">
        <v>103552</v>
      </c>
      <c r="D209" s="174"/>
      <c r="E209" s="295">
        <f t="shared" ref="E209:E216" si="11">SUM(B209:C209)-D209</f>
        <v>1858766.23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4356787.2300000004</v>
      </c>
      <c r="C210" s="189">
        <f>757935.81-399283</f>
        <v>358652.81000000006</v>
      </c>
      <c r="D210" s="174">
        <v>18025</v>
      </c>
      <c r="E210" s="295">
        <f t="shared" si="11"/>
        <v>4697415.040000001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>
        <v>11121818.51</v>
      </c>
      <c r="C211" s="189">
        <v>763391</v>
      </c>
      <c r="D211" s="174"/>
      <c r="E211" s="295">
        <f t="shared" si="11"/>
        <v>11885209.51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930091.74</v>
      </c>
      <c r="C212" s="189">
        <v>35101</v>
      </c>
      <c r="D212" s="174"/>
      <c r="E212" s="295">
        <f t="shared" si="11"/>
        <v>965192.74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10644050.390000001</v>
      </c>
      <c r="C213" s="189">
        <f>1296463+142133+214899+1-829</f>
        <v>1652667</v>
      </c>
      <c r="D213" s="174">
        <f>1077804+68025+84515-829</f>
        <v>1229515</v>
      </c>
      <c r="E213" s="295">
        <f t="shared" si="11"/>
        <v>11067202.390000001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>
        <v>0</v>
      </c>
      <c r="C216" s="189">
        <v>0</v>
      </c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28807962.099999998</v>
      </c>
      <c r="C217" s="303">
        <f>SUM(C208:C216)</f>
        <v>2913363.81</v>
      </c>
      <c r="D217" s="295">
        <f>SUM(D208:D216)</f>
        <v>1247540</v>
      </c>
      <c r="E217" s="295">
        <f>SUM(E208:E216)</f>
        <v>30473785.91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2" t="s">
        <v>342</v>
      </c>
      <c r="B219" s="312"/>
      <c r="C219" s="312"/>
      <c r="D219" s="312"/>
      <c r="E219" s="31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2"/>
      <c r="B220" s="343" t="s">
        <v>1254</v>
      </c>
      <c r="C220" s="343"/>
      <c r="D220" s="312"/>
      <c r="E220" s="31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7" t="s">
        <v>1254</v>
      </c>
      <c r="B221" s="312"/>
      <c r="C221" s="189">
        <v>1639874</v>
      </c>
      <c r="D221" s="313">
        <f>C221</f>
        <v>1639874</v>
      </c>
      <c r="E221" s="31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7" t="s">
        <v>343</v>
      </c>
      <c r="B222" s="317"/>
      <c r="C222" s="317"/>
      <c r="D222" s="317"/>
      <c r="E222" s="31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3" t="s">
        <v>256</v>
      </c>
      <c r="C223" s="189">
        <v>23912552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3" t="s">
        <v>256</v>
      </c>
      <c r="C224" s="189">
        <v>8545821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3" t="s">
        <v>256</v>
      </c>
      <c r="C225" s="189">
        <v>772975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3" t="s">
        <v>256</v>
      </c>
      <c r="C226" s="189">
        <f>720339</f>
        <v>720339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3" t="s">
        <v>256</v>
      </c>
      <c r="C227" s="189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3" t="s">
        <v>256</v>
      </c>
      <c r="C228" s="189">
        <f>62617828-36992381</f>
        <v>25625447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59577134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7" t="s">
        <v>351</v>
      </c>
      <c r="B230" s="317"/>
      <c r="C230" s="317"/>
      <c r="D230" s="317"/>
      <c r="E230" s="31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3" t="s">
        <v>256</v>
      </c>
      <c r="C231" s="189">
        <v>534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3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3" t="s">
        <v>256</v>
      </c>
      <c r="C233" s="189">
        <v>196298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3" t="s">
        <v>256</v>
      </c>
      <c r="C234" s="189">
        <f>729768+23893</f>
        <v>753661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949959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7" t="s">
        <v>356</v>
      </c>
      <c r="B237" s="317"/>
      <c r="C237" s="317"/>
      <c r="D237" s="317"/>
      <c r="E237" s="31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3" t="s">
        <v>256</v>
      </c>
      <c r="C238" s="189">
        <f>25000+207409</f>
        <v>232409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3" t="s">
        <v>256</v>
      </c>
      <c r="C239" s="189">
        <v>218452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450861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62617828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4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2" t="s">
        <v>360</v>
      </c>
      <c r="B248" s="312"/>
      <c r="C248" s="312"/>
      <c r="D248" s="312"/>
      <c r="E248" s="31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45" customHeight="1" x14ac:dyDescent="0.35">
      <c r="A249" s="317" t="s">
        <v>361</v>
      </c>
      <c r="B249" s="317"/>
      <c r="C249" s="317"/>
      <c r="D249" s="317"/>
      <c r="E249" s="3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45" customHeight="1" x14ac:dyDescent="0.35">
      <c r="A250" s="295" t="s">
        <v>362</v>
      </c>
      <c r="B250" s="313" t="s">
        <v>256</v>
      </c>
      <c r="C250" s="189">
        <v>5540563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45" customHeight="1" x14ac:dyDescent="0.35">
      <c r="A251" s="295" t="s">
        <v>363</v>
      </c>
      <c r="B251" s="313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45" customHeight="1" x14ac:dyDescent="0.35">
      <c r="A252" s="295" t="s">
        <v>364</v>
      </c>
      <c r="B252" s="313" t="s">
        <v>256</v>
      </c>
      <c r="C252" s="189">
        <v>20135366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45" customHeight="1" x14ac:dyDescent="0.35">
      <c r="A253" s="295" t="s">
        <v>365</v>
      </c>
      <c r="B253" s="313" t="s">
        <v>256</v>
      </c>
      <c r="C253" s="189">
        <f>3176002+7349138</f>
        <v>10525140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45" customHeight="1" x14ac:dyDescent="0.35">
      <c r="A254" s="295" t="s">
        <v>1240</v>
      </c>
      <c r="B254" s="313" t="s">
        <v>256</v>
      </c>
      <c r="C254" s="189">
        <v>-417672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45" customHeight="1" x14ac:dyDescent="0.35">
      <c r="A255" s="295" t="s">
        <v>366</v>
      </c>
      <c r="B255" s="313" t="s">
        <v>256</v>
      </c>
      <c r="C255" s="189">
        <v>813788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45" customHeight="1" x14ac:dyDescent="0.35">
      <c r="A256" s="295" t="s">
        <v>367</v>
      </c>
      <c r="B256" s="313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45" customHeight="1" x14ac:dyDescent="0.35">
      <c r="A257" s="295" t="s">
        <v>368</v>
      </c>
      <c r="B257" s="313" t="s">
        <v>256</v>
      </c>
      <c r="C257" s="189">
        <v>2013309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45" customHeight="1" x14ac:dyDescent="0.35">
      <c r="A258" s="295" t="s">
        <v>369</v>
      </c>
      <c r="B258" s="313" t="s">
        <v>256</v>
      </c>
      <c r="C258" s="189">
        <v>680779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45" customHeight="1" x14ac:dyDescent="0.35">
      <c r="A259" s="295" t="s">
        <v>370</v>
      </c>
      <c r="B259" s="313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18240993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45" customHeight="1" x14ac:dyDescent="0.35">
      <c r="A261" s="317" t="s">
        <v>372</v>
      </c>
      <c r="B261" s="317"/>
      <c r="C261" s="317"/>
      <c r="D261" s="317"/>
      <c r="E261" s="317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45" customHeight="1" x14ac:dyDescent="0.35">
      <c r="A262" s="295" t="s">
        <v>362</v>
      </c>
      <c r="B262" s="313" t="s">
        <v>256</v>
      </c>
      <c r="C262" s="189">
        <v>7496086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45" customHeight="1" x14ac:dyDescent="0.35">
      <c r="A263" s="295" t="s">
        <v>363</v>
      </c>
      <c r="B263" s="313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45" customHeight="1" x14ac:dyDescent="0.35">
      <c r="A264" s="295" t="s">
        <v>373</v>
      </c>
      <c r="B264" s="313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7496086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45" customHeight="1" x14ac:dyDescent="0.35">
      <c r="A266" s="317" t="s">
        <v>375</v>
      </c>
      <c r="B266" s="317"/>
      <c r="C266" s="317"/>
      <c r="D266" s="317"/>
      <c r="E266" s="317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45" customHeight="1" x14ac:dyDescent="0.35">
      <c r="A267" s="295" t="s">
        <v>332</v>
      </c>
      <c r="B267" s="313" t="s">
        <v>256</v>
      </c>
      <c r="C267" s="189">
        <v>1813305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45" customHeight="1" x14ac:dyDescent="0.35">
      <c r="A268" s="295" t="s">
        <v>333</v>
      </c>
      <c r="B268" s="313" t="s">
        <v>256</v>
      </c>
      <c r="C268" s="189">
        <f>806236+980027+437859+1517161</f>
        <v>3741283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45" customHeight="1" x14ac:dyDescent="0.35">
      <c r="A269" s="295" t="s">
        <v>334</v>
      </c>
      <c r="B269" s="313" t="s">
        <v>256</v>
      </c>
      <c r="C269" s="189">
        <f>17917572-4635036+4648419</f>
        <v>17930955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45" customHeight="1" x14ac:dyDescent="0.35">
      <c r="A270" s="295" t="s">
        <v>376</v>
      </c>
      <c r="B270" s="313" t="s">
        <v>256</v>
      </c>
      <c r="C270" s="189">
        <v>15339337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45" customHeight="1" x14ac:dyDescent="0.35">
      <c r="A271" s="295" t="s">
        <v>377</v>
      </c>
      <c r="B271" s="313" t="s">
        <v>256</v>
      </c>
      <c r="C271" s="189">
        <v>1111042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45" customHeight="1" x14ac:dyDescent="0.35">
      <c r="A272" s="295" t="s">
        <v>378</v>
      </c>
      <c r="B272" s="313" t="s">
        <v>256</v>
      </c>
      <c r="C272" s="189">
        <f>13254496+752144+1251962+455909</f>
        <v>15714511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45" customHeight="1" x14ac:dyDescent="0.35">
      <c r="A273" s="295" t="s">
        <v>339</v>
      </c>
      <c r="B273" s="313" t="s">
        <v>256</v>
      </c>
      <c r="C273" s="189">
        <v>0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45" customHeight="1" x14ac:dyDescent="0.35">
      <c r="A274" s="295" t="s">
        <v>340</v>
      </c>
      <c r="B274" s="313" t="s">
        <v>256</v>
      </c>
      <c r="C274" s="189">
        <v>1148208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56798641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3" t="s">
        <v>256</v>
      </c>
      <c r="C276" s="189">
        <v>30473786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26324855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7" t="s">
        <v>382</v>
      </c>
      <c r="B278" s="317"/>
      <c r="C278" s="317"/>
      <c r="D278" s="317"/>
      <c r="E278" s="31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3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3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3" t="s">
        <v>256</v>
      </c>
      <c r="C281" s="189">
        <v>773199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3" t="s">
        <v>256</v>
      </c>
      <c r="C282" s="189">
        <v>-651027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122172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7" t="s">
        <v>387</v>
      </c>
      <c r="B285" s="317"/>
      <c r="C285" s="317"/>
      <c r="D285" s="317"/>
      <c r="E285" s="31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3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3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3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3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52184106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2" t="s">
        <v>394</v>
      </c>
      <c r="B302" s="312"/>
      <c r="C302" s="312"/>
      <c r="D302" s="312"/>
      <c r="E302" s="31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7" t="s">
        <v>395</v>
      </c>
      <c r="B303" s="317"/>
      <c r="C303" s="317"/>
      <c r="D303" s="317"/>
      <c r="E303" s="3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3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3" t="s">
        <v>256</v>
      </c>
      <c r="C305" s="189">
        <f>2573872+607000</f>
        <v>3180872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3" t="s">
        <v>256</v>
      </c>
      <c r="C306" s="189">
        <v>2790767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3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3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3" t="s">
        <v>256</v>
      </c>
      <c r="C309" s="189">
        <v>30000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3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3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3" t="s">
        <v>256</v>
      </c>
      <c r="C312" s="189">
        <v>273349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3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6274988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7" t="s">
        <v>406</v>
      </c>
      <c r="B315" s="317"/>
      <c r="C315" s="317"/>
      <c r="D315" s="317"/>
      <c r="E315" s="31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3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3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3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7" t="s">
        <v>411</v>
      </c>
      <c r="B320" s="317"/>
      <c r="C320" s="317"/>
      <c r="D320" s="317"/>
      <c r="E320" s="317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3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3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3" t="s">
        <v>256</v>
      </c>
      <c r="C323" s="189">
        <v>8064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3" t="s">
        <v>256</v>
      </c>
      <c r="C324" s="189">
        <v>546536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3" t="s">
        <v>256</v>
      </c>
      <c r="C325" s="189">
        <v>12391266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3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3" t="s">
        <v>256</v>
      </c>
      <c r="C327" s="189">
        <v>990957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13936823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13936823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3" t="s">
        <v>256</v>
      </c>
      <c r="C332" s="222"/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3"/>
      <c r="C333" s="230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3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3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3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3" t="s">
        <v>256</v>
      </c>
      <c r="C337" s="189">
        <v>31972295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3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52184106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52184106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2" t="s">
        <v>426</v>
      </c>
      <c r="B357" s="312"/>
      <c r="C357" s="312"/>
      <c r="D357" s="312"/>
      <c r="E357" s="31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7" t="s">
        <v>427</v>
      </c>
      <c r="B358" s="317"/>
      <c r="C358" s="317"/>
      <c r="D358" s="317"/>
      <c r="E358" s="31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3" t="s">
        <v>256</v>
      </c>
      <c r="C359" s="189">
        <v>32157772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3" t="s">
        <v>256</v>
      </c>
      <c r="C360" s="189">
        <v>100411431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132569203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7" t="s">
        <v>431</v>
      </c>
      <c r="B362" s="317"/>
      <c r="C362" s="317"/>
      <c r="D362" s="317"/>
      <c r="E362" s="31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7"/>
      <c r="C363" s="189">
        <v>1639874</v>
      </c>
      <c r="D363" s="295"/>
      <c r="E363" s="31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3" t="s">
        <v>256</v>
      </c>
      <c r="C364" s="189">
        <v>59577134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3" t="s">
        <v>256</v>
      </c>
      <c r="C365" s="189">
        <v>949959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3" t="s">
        <v>256</v>
      </c>
      <c r="C366" s="189">
        <v>450861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62617828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69951375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7" t="s">
        <v>436</v>
      </c>
      <c r="B369" s="317"/>
      <c r="C369" s="317"/>
      <c r="D369" s="317"/>
      <c r="E369" s="31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3" t="s">
        <v>256</v>
      </c>
      <c r="C370" s="189">
        <f>1987185</f>
        <v>1987185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3" t="s">
        <v>256</v>
      </c>
      <c r="C371" s="189">
        <v>1239438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3226623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73177998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7" t="s">
        <v>441</v>
      </c>
      <c r="B377" s="317"/>
      <c r="C377" s="317"/>
      <c r="D377" s="317"/>
      <c r="E377" s="317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3" t="s">
        <v>256</v>
      </c>
      <c r="C378" s="189">
        <v>32785656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3" t="s">
        <v>256</v>
      </c>
      <c r="C379" s="189">
        <v>7317229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3" t="s">
        <v>256</v>
      </c>
      <c r="C380" s="189">
        <v>4593714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3" t="s">
        <v>256</v>
      </c>
      <c r="C381" s="189">
        <v>11965730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3" t="s">
        <v>256</v>
      </c>
      <c r="C382" s="189">
        <v>738293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3" t="s">
        <v>256</v>
      </c>
      <c r="C383" s="189">
        <v>3614610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3" t="s">
        <v>256</v>
      </c>
      <c r="C384" s="189">
        <v>2913364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3" t="s">
        <v>256</v>
      </c>
      <c r="C385" s="189">
        <v>500721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3" t="s">
        <v>256</v>
      </c>
      <c r="C386" s="189">
        <f>276363-4</f>
        <v>276359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3" t="s">
        <v>256</v>
      </c>
      <c r="C387" s="189">
        <v>742399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3" t="s">
        <v>256</v>
      </c>
      <c r="C388" s="189">
        <v>542853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3" t="s">
        <v>256</v>
      </c>
      <c r="C389" s="189">
        <v>1323339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67314267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5863731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3" t="s">
        <v>256</v>
      </c>
      <c r="C392" s="189">
        <f>-3215892-1239438</f>
        <v>-4455330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1408401</v>
      </c>
      <c r="E393" s="295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3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3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1408401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Public Hospital District #1-A of Whitman County   H-0     FYE 12/31/2019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1278</v>
      </c>
      <c r="C414" s="2">
        <f>E138</f>
        <v>1278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3451</v>
      </c>
      <c r="C415" s="2">
        <f>E139</f>
        <v>3451</v>
      </c>
      <c r="D415" s="2">
        <f>SUM(C59:H59)+N59</f>
        <v>3451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24</v>
      </c>
      <c r="C417" s="2">
        <f>E144</f>
        <v>24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181</v>
      </c>
      <c r="C418" s="2">
        <f>E145</f>
        <v>181</v>
      </c>
      <c r="D418" s="2">
        <f>K59+L59</f>
        <v>181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358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711</v>
      </c>
      <c r="C424" s="2"/>
      <c r="D424" s="2">
        <f>J59</f>
        <v>711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32785656</v>
      </c>
      <c r="C427" s="2">
        <f t="shared" ref="C427:C434" si="13">CE61</f>
        <v>32785656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7317229</v>
      </c>
      <c r="C428" s="2">
        <f t="shared" si="13"/>
        <v>7317230</v>
      </c>
      <c r="D428" s="2">
        <f>D173</f>
        <v>7317229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4593714</v>
      </c>
      <c r="C429" s="2">
        <f t="shared" si="13"/>
        <v>4593714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11965730</v>
      </c>
      <c r="C430" s="2">
        <f t="shared" si="13"/>
        <v>11965730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738293</v>
      </c>
      <c r="C431" s="2">
        <f t="shared" si="13"/>
        <v>738293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3614610</v>
      </c>
      <c r="C432" s="2">
        <f t="shared" si="13"/>
        <v>3614610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2913364</v>
      </c>
      <c r="C433" s="2">
        <f t="shared" si="13"/>
        <v>2913364</v>
      </c>
      <c r="D433" s="2">
        <f>C217</f>
        <v>2913363.81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500721</v>
      </c>
      <c r="C434" s="2">
        <f t="shared" si="13"/>
        <v>500721</v>
      </c>
      <c r="D434" s="2">
        <f>D177</f>
        <v>500721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276359</v>
      </c>
      <c r="C435" s="2"/>
      <c r="D435" s="2">
        <f>D181</f>
        <v>276359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742399</v>
      </c>
      <c r="C436" s="2"/>
      <c r="D436" s="2">
        <f>D186</f>
        <v>742399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542853</v>
      </c>
      <c r="C437" s="2"/>
      <c r="D437" s="2">
        <f>D190</f>
        <v>542853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1561611</v>
      </c>
      <c r="C438" s="2">
        <f>CD69</f>
        <v>1561611</v>
      </c>
      <c r="D438" s="2">
        <f>D181+D186+D190</f>
        <v>1561611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1323339</v>
      </c>
      <c r="C439" s="2">
        <f>SUM(C69:CC69)</f>
        <v>1323339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2884950</v>
      </c>
      <c r="C440" s="2">
        <f>CE69</f>
        <v>2884950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67314267</v>
      </c>
      <c r="C441" s="2">
        <f>SUM(C427:C437)+C440</f>
        <v>67314268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1639874</v>
      </c>
      <c r="C444" s="2">
        <f>C363</f>
        <v>1639874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59577134</v>
      </c>
      <c r="C445" s="2">
        <f>C364</f>
        <v>59577134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949959</v>
      </c>
      <c r="C446" s="2">
        <f>C365</f>
        <v>949959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450861</v>
      </c>
      <c r="C447" s="2">
        <f>C366</f>
        <v>450861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62617828</v>
      </c>
      <c r="C448" s="2">
        <f>D367</f>
        <v>62617828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4" t="s">
        <v>484</v>
      </c>
      <c r="B453" s="2">
        <f>C231</f>
        <v>534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196298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753661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1987185</v>
      </c>
      <c r="C458" s="2">
        <f>CE70</f>
        <v>1987185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1239438</v>
      </c>
      <c r="C459" s="2">
        <f>CE72</f>
        <v>1239438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32157772</v>
      </c>
      <c r="C463" s="2">
        <f>CE73</f>
        <v>32157772</v>
      </c>
      <c r="D463" s="2">
        <f>E141+E147+E153</f>
        <v>32157772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100411431</v>
      </c>
      <c r="C464" s="2">
        <f>CE74</f>
        <v>100411431</v>
      </c>
      <c r="D464" s="2">
        <f>E142+E148+E154</f>
        <v>100411431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132569203</v>
      </c>
      <c r="C465" s="2">
        <f>CE75</f>
        <v>132569203</v>
      </c>
      <c r="D465" s="2">
        <f>D463+D464</f>
        <v>132569203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1813305</v>
      </c>
      <c r="C468" s="2">
        <f>E195</f>
        <v>1813305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3741283</v>
      </c>
      <c r="C469" s="2">
        <f>E196</f>
        <v>3741283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17930955</v>
      </c>
      <c r="C470" s="2">
        <f>E197</f>
        <v>17930954.82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15339337</v>
      </c>
      <c r="C471" s="2">
        <f>E198</f>
        <v>15339337.35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1111042</v>
      </c>
      <c r="C472" s="2">
        <f>E199</f>
        <v>1111042.2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15714511</v>
      </c>
      <c r="C473" s="2">
        <f>SUM(E200:E201)</f>
        <v>15714510.579999998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1148208</v>
      </c>
      <c r="C475" s="2">
        <f>E203</f>
        <v>1148208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56798641</v>
      </c>
      <c r="C476" s="2">
        <f>E204</f>
        <v>56798640.950000003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30473786</v>
      </c>
      <c r="C478" s="2">
        <f>E217</f>
        <v>30473785.91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52184106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52184106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172</v>
      </c>
      <c r="B493" s="333" t="str">
        <f>RIGHT('[1]Prior Year'!C83,4)</f>
        <v>172</v>
      </c>
      <c r="C493" s="333" t="str">
        <f>RIGHT(C82,4)</f>
        <v>2019</v>
      </c>
      <c r="D493" s="333" t="str">
        <f>RIGHT('[1]Prior Year'!C82,4)</f>
        <v>2018</v>
      </c>
      <c r="E493" s="333" t="str">
        <f>RIGHT(C82,4)</f>
        <v>2019</v>
      </c>
      <c r="F493" s="333" t="str">
        <f>RIGHT('[1]Prior Year'!C82,4)</f>
        <v>2018</v>
      </c>
      <c r="G493" s="333" t="str">
        <f>RIGHT(C82,4)</f>
        <v>2019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>
        <f>'[1]Prior Year'!C71</f>
        <v>1515446</v>
      </c>
      <c r="C496" s="335">
        <f>C71</f>
        <v>1662774</v>
      </c>
      <c r="D496" s="335">
        <f>'[1]Prior Year'!C59</f>
        <v>536</v>
      </c>
      <c r="E496" s="2">
        <f>C59</f>
        <v>600</v>
      </c>
      <c r="F496" s="336">
        <f t="shared" ref="F496:G511" si="15">IF(B496=0,"",IF(D496=0,"",B496/D496))</f>
        <v>2827.3246268656717</v>
      </c>
      <c r="G496" s="336">
        <f t="shared" si="15"/>
        <v>2771.29</v>
      </c>
      <c r="H496" s="337" t="str">
        <f>IF(B496=0,"",IF(C496=0,"",IF(D496=0,"",IF(E496=0,"",IF(G496/F496-1&lt;-0.25,G496/F496-1,IF(G496/F496-1&gt;0.25,G496/F496-1,""))))))</f>
        <v/>
      </c>
      <c r="I496" s="266"/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>
        <f>'[1]Prior Year'!D71</f>
        <v>0</v>
      </c>
      <c r="C497" s="335">
        <f>D71</f>
        <v>0</v>
      </c>
      <c r="D497" s="335">
        <f>'[1]Prior Year'!D59</f>
        <v>0</v>
      </c>
      <c r="E497" s="2">
        <f>D59</f>
        <v>0</v>
      </c>
      <c r="F497" s="336" t="str">
        <f t="shared" si="15"/>
        <v/>
      </c>
      <c r="G497" s="336" t="str">
        <f t="shared" si="15"/>
        <v/>
      </c>
      <c r="H497" s="337" t="str">
        <f t="shared" ref="H497:H550" si="16">IF(B497=0,"",IF(C497=0,"",IF(D497=0,"",IF(E497=0,"",IF(G497/F497-1&lt;-0.25,G497/F497-1,IF(G497/F497-1&gt;0.25,G497/F497-1,""))))))</f>
        <v/>
      </c>
      <c r="I497" s="266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>
        <f>'[1]Prior Year'!E71</f>
        <v>4445915</v>
      </c>
      <c r="C498" s="335">
        <f>E71</f>
        <v>4488628</v>
      </c>
      <c r="D498" s="335">
        <f>'[1]Prior Year'!E59</f>
        <v>2782</v>
      </c>
      <c r="E498" s="2">
        <f>E59</f>
        <v>2851</v>
      </c>
      <c r="F498" s="336">
        <f t="shared" si="15"/>
        <v>1598.1002875629044</v>
      </c>
      <c r="G498" s="336">
        <f t="shared" si="15"/>
        <v>1574.4047702560506</v>
      </c>
      <c r="H498" s="337" t="str">
        <f t="shared" si="16"/>
        <v/>
      </c>
      <c r="I498" s="266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>
        <f>'[1]Prior Year'!F71</f>
        <v>0</v>
      </c>
      <c r="C499" s="335">
        <f>F71</f>
        <v>0</v>
      </c>
      <c r="D499" s="335">
        <f>'[1]Prior Year'!F59</f>
        <v>0</v>
      </c>
      <c r="E499" s="2">
        <f>F59</f>
        <v>0</v>
      </c>
      <c r="F499" s="336" t="str">
        <f t="shared" si="15"/>
        <v/>
      </c>
      <c r="G499" s="336" t="str">
        <f t="shared" si="15"/>
        <v/>
      </c>
      <c r="H499" s="337" t="str">
        <f t="shared" si="16"/>
        <v/>
      </c>
      <c r="I499" s="266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>
        <f>'[1]Prior Year'!G71</f>
        <v>0</v>
      </c>
      <c r="C500" s="335">
        <f>G71</f>
        <v>0</v>
      </c>
      <c r="D500" s="335">
        <f>'[1]Prior Year'!G59</f>
        <v>0</v>
      </c>
      <c r="E500" s="2">
        <f>G59</f>
        <v>0</v>
      </c>
      <c r="F500" s="336" t="str">
        <f t="shared" si="15"/>
        <v/>
      </c>
      <c r="G500" s="336" t="str">
        <f t="shared" si="15"/>
        <v/>
      </c>
      <c r="H500" s="337" t="str">
        <f t="shared" si="16"/>
        <v/>
      </c>
      <c r="I500" s="266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>
        <f>'[1]Prior Year'!H71</f>
        <v>0</v>
      </c>
      <c r="C501" s="335">
        <f>H71</f>
        <v>0</v>
      </c>
      <c r="D501" s="335">
        <f>'[1]Prior Year'!H59</f>
        <v>0</v>
      </c>
      <c r="E501" s="2">
        <f>H59</f>
        <v>0</v>
      </c>
      <c r="F501" s="336" t="str">
        <f t="shared" si="15"/>
        <v/>
      </c>
      <c r="G501" s="336" t="str">
        <f t="shared" si="15"/>
        <v/>
      </c>
      <c r="H501" s="337" t="str">
        <f t="shared" si="16"/>
        <v/>
      </c>
      <c r="I501" s="266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>
        <f>'[1]Prior Year'!I71</f>
        <v>0</v>
      </c>
      <c r="C502" s="335">
        <f>I71</f>
        <v>0</v>
      </c>
      <c r="D502" s="335">
        <f>'[1]Prior Year'!I59</f>
        <v>0</v>
      </c>
      <c r="E502" s="2">
        <f>I59</f>
        <v>0</v>
      </c>
      <c r="F502" s="336" t="str">
        <f t="shared" si="15"/>
        <v/>
      </c>
      <c r="G502" s="336" t="str">
        <f t="shared" si="15"/>
        <v/>
      </c>
      <c r="H502" s="337" t="str">
        <f t="shared" si="16"/>
        <v/>
      </c>
      <c r="I502" s="266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>
        <f>'[1]Prior Year'!J71</f>
        <v>0</v>
      </c>
      <c r="C503" s="335">
        <f>J71</f>
        <v>0</v>
      </c>
      <c r="D503" s="335">
        <f>'[1]Prior Year'!J59</f>
        <v>703</v>
      </c>
      <c r="E503" s="2">
        <f>J59</f>
        <v>711</v>
      </c>
      <c r="F503" s="336" t="str">
        <f t="shared" si="15"/>
        <v/>
      </c>
      <c r="G503" s="336" t="str">
        <f t="shared" si="15"/>
        <v/>
      </c>
      <c r="H503" s="337" t="str">
        <f t="shared" si="16"/>
        <v/>
      </c>
      <c r="I503" s="266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>
        <f>'[1]Prior Year'!K71</f>
        <v>0</v>
      </c>
      <c r="C504" s="335">
        <f>K71</f>
        <v>0</v>
      </c>
      <c r="D504" s="335">
        <f>'[1]Prior Year'!K59</f>
        <v>0</v>
      </c>
      <c r="E504" s="2">
        <f>K59</f>
        <v>0</v>
      </c>
      <c r="F504" s="336" t="str">
        <f t="shared" si="15"/>
        <v/>
      </c>
      <c r="G504" s="336" t="str">
        <f t="shared" si="15"/>
        <v/>
      </c>
      <c r="H504" s="337" t="str">
        <f t="shared" si="16"/>
        <v/>
      </c>
      <c r="I504" s="266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>
        <f>'[1]Prior Year'!L71</f>
        <v>0</v>
      </c>
      <c r="C505" s="335">
        <f>L71</f>
        <v>0</v>
      </c>
      <c r="D505" s="335">
        <f>'[1]Prior Year'!L59</f>
        <v>263</v>
      </c>
      <c r="E505" s="2">
        <f>L59</f>
        <v>181</v>
      </c>
      <c r="F505" s="336" t="str">
        <f t="shared" si="15"/>
        <v/>
      </c>
      <c r="G505" s="336" t="str">
        <f t="shared" si="15"/>
        <v/>
      </c>
      <c r="H505" s="337" t="str">
        <f t="shared" si="16"/>
        <v/>
      </c>
      <c r="I505" s="266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>
        <f>'[1]Prior Year'!M71</f>
        <v>0</v>
      </c>
      <c r="C506" s="335">
        <f>M71</f>
        <v>0</v>
      </c>
      <c r="D506" s="335">
        <f>'[1]Prior Year'!M59</f>
        <v>0</v>
      </c>
      <c r="E506" s="2">
        <f>M59</f>
        <v>0</v>
      </c>
      <c r="F506" s="336" t="str">
        <f t="shared" si="15"/>
        <v/>
      </c>
      <c r="G506" s="336" t="str">
        <f t="shared" si="15"/>
        <v/>
      </c>
      <c r="H506" s="337" t="str">
        <f t="shared" si="16"/>
        <v/>
      </c>
      <c r="I506" s="266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>
        <f>'[1]Prior Year'!N71</f>
        <v>0</v>
      </c>
      <c r="C507" s="335">
        <f>N71</f>
        <v>0</v>
      </c>
      <c r="D507" s="335">
        <f>'[1]Prior Year'!N59</f>
        <v>0</v>
      </c>
      <c r="E507" s="2">
        <f>N59</f>
        <v>0</v>
      </c>
      <c r="F507" s="336" t="str">
        <f t="shared" si="15"/>
        <v/>
      </c>
      <c r="G507" s="336" t="str">
        <f t="shared" si="15"/>
        <v/>
      </c>
      <c r="H507" s="337" t="str">
        <f t="shared" si="16"/>
        <v/>
      </c>
      <c r="I507" s="266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>
        <f>'[1]Prior Year'!O71</f>
        <v>2706186</v>
      </c>
      <c r="C508" s="335">
        <f>O71</f>
        <v>2731315</v>
      </c>
      <c r="D508" s="335">
        <f>'[1]Prior Year'!O59</f>
        <v>353</v>
      </c>
      <c r="E508" s="2">
        <f>O59</f>
        <v>358</v>
      </c>
      <c r="F508" s="336">
        <f t="shared" si="15"/>
        <v>7666.2492917847021</v>
      </c>
      <c r="G508" s="336">
        <f t="shared" si="15"/>
        <v>7629.3715083798879</v>
      </c>
      <c r="H508" s="337" t="str">
        <f t="shared" si="16"/>
        <v/>
      </c>
      <c r="I508" s="266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>
        <f>'[1]Prior Year'!P71</f>
        <v>6649457</v>
      </c>
      <c r="C509" s="335">
        <f>P71</f>
        <v>7222692</v>
      </c>
      <c r="D509" s="335">
        <f>'[1]Prior Year'!P59</f>
        <v>217114</v>
      </c>
      <c r="E509" s="2">
        <f>P59</f>
        <v>215571</v>
      </c>
      <c r="F509" s="336">
        <f t="shared" si="15"/>
        <v>30.626569451992964</v>
      </c>
      <c r="G509" s="336">
        <f t="shared" si="15"/>
        <v>33.504933409410356</v>
      </c>
      <c r="H509" s="337" t="str">
        <f t="shared" si="16"/>
        <v/>
      </c>
      <c r="I509" s="266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>
        <f>'[1]Prior Year'!Q71</f>
        <v>28227</v>
      </c>
      <c r="C510" s="335">
        <f>Q71</f>
        <v>0</v>
      </c>
      <c r="D510" s="335">
        <f>'[1]Prior Year'!Q59</f>
        <v>108410</v>
      </c>
      <c r="E510" s="2">
        <f>Q59</f>
        <v>105830</v>
      </c>
      <c r="F510" s="336">
        <f t="shared" si="15"/>
        <v>0.26037265934876858</v>
      </c>
      <c r="G510" s="336" t="str">
        <f t="shared" si="15"/>
        <v/>
      </c>
      <c r="H510" s="337" t="str">
        <f t="shared" si="16"/>
        <v/>
      </c>
      <c r="I510" s="266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>
        <f>'[1]Prior Year'!R71</f>
        <v>495695</v>
      </c>
      <c r="C511" s="335">
        <f>R71</f>
        <v>478914</v>
      </c>
      <c r="D511" s="335">
        <f>'[1]Prior Year'!R59</f>
        <v>159480</v>
      </c>
      <c r="E511" s="2">
        <f>R59</f>
        <v>161700</v>
      </c>
      <c r="F511" s="336">
        <f t="shared" si="15"/>
        <v>3.1081953850012543</v>
      </c>
      <c r="G511" s="336">
        <f t="shared" si="15"/>
        <v>2.9617439703153989</v>
      </c>
      <c r="H511" s="337" t="str">
        <f t="shared" si="16"/>
        <v/>
      </c>
      <c r="I511" s="266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>
        <f>'[1]Prior Year'!S71</f>
        <v>4986733</v>
      </c>
      <c r="C512" s="335">
        <f>S71</f>
        <v>4870749</v>
      </c>
      <c r="D512" s="329" t="s">
        <v>529</v>
      </c>
      <c r="E512" s="329" t="s">
        <v>529</v>
      </c>
      <c r="F512" s="336" t="str">
        <f t="shared" ref="F512:G527" si="17">IF(B512=0,"",IF(D512=0,"",B512/D512))</f>
        <v/>
      </c>
      <c r="G512" s="336" t="str">
        <f t="shared" si="17"/>
        <v/>
      </c>
      <c r="H512" s="337" t="str">
        <f t="shared" si="16"/>
        <v/>
      </c>
      <c r="I512" s="266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>
        <f>'[1]Prior Year'!T71</f>
        <v>0</v>
      </c>
      <c r="C513" s="335">
        <f>T71</f>
        <v>0</v>
      </c>
      <c r="D513" s="329" t="s">
        <v>529</v>
      </c>
      <c r="E513" s="329" t="s">
        <v>529</v>
      </c>
      <c r="F513" s="336" t="str">
        <f t="shared" si="17"/>
        <v/>
      </c>
      <c r="G513" s="336" t="str">
        <f t="shared" si="17"/>
        <v/>
      </c>
      <c r="H513" s="337" t="str">
        <f t="shared" si="16"/>
        <v/>
      </c>
      <c r="I513" s="266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>
        <f>'[1]Prior Year'!U71</f>
        <v>2660066</v>
      </c>
      <c r="C514" s="335">
        <f>U71</f>
        <v>2643619</v>
      </c>
      <c r="D514" s="335">
        <f>'[1]Prior Year'!U59</f>
        <v>108264</v>
      </c>
      <c r="E514" s="2">
        <f>U59</f>
        <v>110516</v>
      </c>
      <c r="F514" s="336">
        <f t="shared" si="17"/>
        <v>24.57018030000739</v>
      </c>
      <c r="G514" s="336">
        <f t="shared" si="17"/>
        <v>23.920690216801187</v>
      </c>
      <c r="H514" s="337" t="str">
        <f t="shared" si="16"/>
        <v/>
      </c>
      <c r="I514" s="266"/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>
        <f>'[1]Prior Year'!V71</f>
        <v>8848</v>
      </c>
      <c r="C515" s="335">
        <f>V71</f>
        <v>7486</v>
      </c>
      <c r="D515" s="335">
        <f>'[1]Prior Year'!V59</f>
        <v>3683</v>
      </c>
      <c r="E515" s="2">
        <f>V59</f>
        <v>3574</v>
      </c>
      <c r="F515" s="336">
        <f t="shared" si="17"/>
        <v>2.4023893565028511</v>
      </c>
      <c r="G515" s="336">
        <f t="shared" si="17"/>
        <v>2.0945719082260772</v>
      </c>
      <c r="H515" s="337" t="str">
        <f t="shared" si="16"/>
        <v/>
      </c>
      <c r="I515" s="266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>
        <f>'[1]Prior Year'!W71</f>
        <v>577056</v>
      </c>
      <c r="C516" s="335">
        <f>W71</f>
        <v>587180</v>
      </c>
      <c r="D516" s="335">
        <f>'[1]Prior Year'!W59</f>
        <v>2857</v>
      </c>
      <c r="E516" s="2">
        <f>W59</f>
        <v>2866</v>
      </c>
      <c r="F516" s="336">
        <f t="shared" si="17"/>
        <v>201.97969898494924</v>
      </c>
      <c r="G516" s="336">
        <f t="shared" si="17"/>
        <v>204.87787857641311</v>
      </c>
      <c r="H516" s="337" t="str">
        <f t="shared" si="16"/>
        <v/>
      </c>
      <c r="I516" s="266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>
        <f>'[1]Prior Year'!X71</f>
        <v>259700</v>
      </c>
      <c r="C517" s="335">
        <f>X71</f>
        <v>269621</v>
      </c>
      <c r="D517" s="335">
        <f>'[1]Prior Year'!X59</f>
        <v>4639</v>
      </c>
      <c r="E517" s="2">
        <f>X59</f>
        <v>4910</v>
      </c>
      <c r="F517" s="336">
        <f t="shared" si="17"/>
        <v>55.98189264927786</v>
      </c>
      <c r="G517" s="336">
        <f t="shared" si="17"/>
        <v>54.912627291242366</v>
      </c>
      <c r="H517" s="337" t="str">
        <f t="shared" si="16"/>
        <v/>
      </c>
      <c r="I517" s="266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>
        <f>'[1]Prior Year'!Y71</f>
        <v>2766144</v>
      </c>
      <c r="C518" s="335">
        <f>Y71</f>
        <v>2980818</v>
      </c>
      <c r="D518" s="335">
        <f>'[1]Prior Year'!Y59</f>
        <v>24402</v>
      </c>
      <c r="E518" s="2">
        <f>Y59</f>
        <v>25356</v>
      </c>
      <c r="F518" s="336">
        <f t="shared" si="17"/>
        <v>113.35726579788542</v>
      </c>
      <c r="G518" s="336">
        <f t="shared" si="17"/>
        <v>117.55868433506862</v>
      </c>
      <c r="H518" s="337" t="str">
        <f t="shared" si="16"/>
        <v/>
      </c>
      <c r="I518" s="266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>
        <f>'[1]Prior Year'!Z71</f>
        <v>0</v>
      </c>
      <c r="C519" s="335">
        <f>Z71</f>
        <v>0</v>
      </c>
      <c r="D519" s="335">
        <f>'[1]Prior Year'!Z59</f>
        <v>0</v>
      </c>
      <c r="E519" s="2">
        <f>Z59</f>
        <v>0</v>
      </c>
      <c r="F519" s="336" t="str">
        <f t="shared" si="17"/>
        <v/>
      </c>
      <c r="G519" s="336" t="str">
        <f t="shared" si="17"/>
        <v/>
      </c>
      <c r="H519" s="337" t="str">
        <f t="shared" si="16"/>
        <v/>
      </c>
      <c r="I519" s="266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>
        <f>'[1]Prior Year'!AA71</f>
        <v>718459</v>
      </c>
      <c r="C520" s="335">
        <f>AA71</f>
        <v>789006</v>
      </c>
      <c r="D520" s="335">
        <f>'[1]Prior Year'!AA59</f>
        <v>937</v>
      </c>
      <c r="E520" s="2">
        <f>AA59</f>
        <v>803</v>
      </c>
      <c r="F520" s="336">
        <f t="shared" si="17"/>
        <v>766.76520811099249</v>
      </c>
      <c r="G520" s="336">
        <f t="shared" si="17"/>
        <v>982.57285180572853</v>
      </c>
      <c r="H520" s="337">
        <f t="shared" si="16"/>
        <v>0.28145205522092098</v>
      </c>
      <c r="I520" s="266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>
        <f>'[1]Prior Year'!AB71</f>
        <v>4463339</v>
      </c>
      <c r="C521" s="335">
        <f>AB71</f>
        <v>4520472</v>
      </c>
      <c r="D521" s="329" t="s">
        <v>529</v>
      </c>
      <c r="E521" s="329" t="s">
        <v>529</v>
      </c>
      <c r="F521" s="336" t="str">
        <f t="shared" si="17"/>
        <v/>
      </c>
      <c r="G521" s="336" t="str">
        <f t="shared" si="17"/>
        <v/>
      </c>
      <c r="H521" s="337" t="str">
        <f t="shared" si="16"/>
        <v/>
      </c>
      <c r="I521" s="266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>
        <f>'[1]Prior Year'!AC71</f>
        <v>1211911</v>
      </c>
      <c r="C522" s="335">
        <f>AC71</f>
        <v>1372896</v>
      </c>
      <c r="D522" s="335">
        <f>'[1]Prior Year'!AC59</f>
        <v>10970</v>
      </c>
      <c r="E522" s="2">
        <f>AC59</f>
        <v>13692</v>
      </c>
      <c r="F522" s="336">
        <f t="shared" si="17"/>
        <v>110.47502278942571</v>
      </c>
      <c r="G522" s="336">
        <f t="shared" si="17"/>
        <v>100.26993865030674</v>
      </c>
      <c r="H522" s="337" t="str">
        <f t="shared" si="16"/>
        <v/>
      </c>
      <c r="I522" s="266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>
        <f>'[1]Prior Year'!AD71</f>
        <v>0</v>
      </c>
      <c r="C523" s="335">
        <f>AD71</f>
        <v>0</v>
      </c>
      <c r="D523" s="335">
        <f>'[1]Prior Year'!AD59</f>
        <v>0</v>
      </c>
      <c r="E523" s="2">
        <f>AD59</f>
        <v>0</v>
      </c>
      <c r="F523" s="336" t="str">
        <f t="shared" si="17"/>
        <v/>
      </c>
      <c r="G523" s="336" t="str">
        <f t="shared" si="17"/>
        <v/>
      </c>
      <c r="H523" s="337" t="str">
        <f t="shared" si="16"/>
        <v/>
      </c>
      <c r="I523" s="266"/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>
        <f>'[1]Prior Year'!AE71</f>
        <v>4085958</v>
      </c>
      <c r="C524" s="335">
        <f>AE71</f>
        <v>4415111</v>
      </c>
      <c r="D524" s="335">
        <f>'[1]Prior Year'!AE59</f>
        <v>38063</v>
      </c>
      <c r="E524" s="2">
        <f>AE59</f>
        <v>38141</v>
      </c>
      <c r="F524" s="336">
        <f t="shared" si="17"/>
        <v>107.34724010193626</v>
      </c>
      <c r="G524" s="336">
        <f t="shared" si="17"/>
        <v>115.75760992108231</v>
      </c>
      <c r="H524" s="337" t="str">
        <f t="shared" si="16"/>
        <v/>
      </c>
      <c r="I524" s="266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>
        <f>'[1]Prior Year'!AF71</f>
        <v>0</v>
      </c>
      <c r="C525" s="335">
        <f>AF71</f>
        <v>0</v>
      </c>
      <c r="D525" s="335">
        <f>'[1]Prior Year'!AF59</f>
        <v>0</v>
      </c>
      <c r="E525" s="2">
        <f>AF59</f>
        <v>0</v>
      </c>
      <c r="F525" s="336" t="str">
        <f t="shared" si="17"/>
        <v/>
      </c>
      <c r="G525" s="336" t="str">
        <f t="shared" si="17"/>
        <v/>
      </c>
      <c r="H525" s="337" t="str">
        <f t="shared" si="16"/>
        <v/>
      </c>
      <c r="I525" s="266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>
        <f>'[1]Prior Year'!AG71</f>
        <v>5983798</v>
      </c>
      <c r="C526" s="335">
        <f>AG71</f>
        <v>6277890</v>
      </c>
      <c r="D526" s="335">
        <f>'[1]Prior Year'!AG59</f>
        <v>12523</v>
      </c>
      <c r="E526" s="2">
        <f>AG59</f>
        <v>12662</v>
      </c>
      <c r="F526" s="336">
        <f t="shared" si="17"/>
        <v>477.8246426575102</v>
      </c>
      <c r="G526" s="336">
        <f t="shared" si="17"/>
        <v>495.80555994313693</v>
      </c>
      <c r="H526" s="337" t="str">
        <f t="shared" si="16"/>
        <v/>
      </c>
      <c r="I526" s="266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>
        <f>'[1]Prior Year'!AH71</f>
        <v>0</v>
      </c>
      <c r="C527" s="335">
        <f>AH71</f>
        <v>0</v>
      </c>
      <c r="D527" s="335">
        <f>'[1]Prior Year'!AH59</f>
        <v>0</v>
      </c>
      <c r="E527" s="2">
        <f>AH59</f>
        <v>0</v>
      </c>
      <c r="F527" s="336" t="str">
        <f t="shared" si="17"/>
        <v/>
      </c>
      <c r="G527" s="336" t="str">
        <f t="shared" si="17"/>
        <v/>
      </c>
      <c r="H527" s="337" t="str">
        <f t="shared" si="16"/>
        <v/>
      </c>
      <c r="I527" s="266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>
        <f>'[1]Prior Year'!AI71</f>
        <v>0</v>
      </c>
      <c r="C528" s="335">
        <f>AI71</f>
        <v>0</v>
      </c>
      <c r="D528" s="335">
        <f>'[1]Prior Year'!AI59</f>
        <v>0</v>
      </c>
      <c r="E528" s="2">
        <f>AI59</f>
        <v>0</v>
      </c>
      <c r="F528" s="336" t="str">
        <f t="shared" ref="F528:G540" si="18">IF(B528=0,"",IF(D528=0,"",B528/D528))</f>
        <v/>
      </c>
      <c r="G528" s="336" t="str">
        <f t="shared" si="18"/>
        <v/>
      </c>
      <c r="H528" s="337" t="str">
        <f t="shared" si="16"/>
        <v/>
      </c>
      <c r="I528" s="266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>
        <f>'[1]Prior Year'!AJ71</f>
        <v>90497</v>
      </c>
      <c r="C529" s="335">
        <f>AJ71</f>
        <v>92217</v>
      </c>
      <c r="D529" s="335">
        <f>'[1]Prior Year'!AJ59</f>
        <v>278</v>
      </c>
      <c r="E529" s="2">
        <f>AJ59</f>
        <v>340</v>
      </c>
      <c r="F529" s="336">
        <f t="shared" si="18"/>
        <v>325.52877697841728</v>
      </c>
      <c r="G529" s="336">
        <f t="shared" si="18"/>
        <v>271.22647058823532</v>
      </c>
      <c r="H529" s="337" t="str">
        <f t="shared" si="16"/>
        <v/>
      </c>
      <c r="I529" s="266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>
        <f>'[1]Prior Year'!AK71</f>
        <v>0</v>
      </c>
      <c r="C530" s="335">
        <f>AK71</f>
        <v>0</v>
      </c>
      <c r="D530" s="335">
        <f>'[1]Prior Year'!AK59</f>
        <v>0</v>
      </c>
      <c r="E530" s="2">
        <f>AK59</f>
        <v>0</v>
      </c>
      <c r="F530" s="336" t="str">
        <f t="shared" si="18"/>
        <v/>
      </c>
      <c r="G530" s="336" t="str">
        <f t="shared" si="18"/>
        <v/>
      </c>
      <c r="H530" s="337" t="str">
        <f t="shared" si="16"/>
        <v/>
      </c>
      <c r="I530" s="266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>
        <f>'[1]Prior Year'!AL71</f>
        <v>0</v>
      </c>
      <c r="C531" s="335">
        <f>AL71</f>
        <v>0</v>
      </c>
      <c r="D531" s="335">
        <f>'[1]Prior Year'!AL59</f>
        <v>0</v>
      </c>
      <c r="E531" s="2">
        <f>AL59</f>
        <v>0</v>
      </c>
      <c r="F531" s="336" t="str">
        <f t="shared" si="18"/>
        <v/>
      </c>
      <c r="G531" s="336" t="str">
        <f t="shared" si="18"/>
        <v/>
      </c>
      <c r="H531" s="337" t="str">
        <f t="shared" si="16"/>
        <v/>
      </c>
      <c r="I531" s="266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>
        <f>'[1]Prior Year'!AM71</f>
        <v>0</v>
      </c>
      <c r="C532" s="335">
        <f>AM71</f>
        <v>0</v>
      </c>
      <c r="D532" s="335">
        <f>'[1]Prior Year'!AM59</f>
        <v>0</v>
      </c>
      <c r="E532" s="2">
        <f>AM59</f>
        <v>0</v>
      </c>
      <c r="F532" s="336" t="str">
        <f t="shared" si="18"/>
        <v/>
      </c>
      <c r="G532" s="336" t="str">
        <f t="shared" si="18"/>
        <v/>
      </c>
      <c r="H532" s="337" t="str">
        <f t="shared" si="16"/>
        <v/>
      </c>
      <c r="I532" s="266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>
        <f>'[1]Prior Year'!AN71</f>
        <v>0</v>
      </c>
      <c r="C533" s="335">
        <f>AN71</f>
        <v>0</v>
      </c>
      <c r="D533" s="335">
        <f>'[1]Prior Year'!AN59</f>
        <v>0</v>
      </c>
      <c r="E533" s="2">
        <f>AN59</f>
        <v>0</v>
      </c>
      <c r="F533" s="336" t="str">
        <f t="shared" si="18"/>
        <v/>
      </c>
      <c r="G533" s="336" t="str">
        <f t="shared" si="18"/>
        <v/>
      </c>
      <c r="H533" s="337" t="str">
        <f t="shared" si="16"/>
        <v/>
      </c>
      <c r="I533" s="266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>
        <f>'[1]Prior Year'!AO71</f>
        <v>0</v>
      </c>
      <c r="C534" s="335">
        <f>AO71</f>
        <v>0</v>
      </c>
      <c r="D534" s="335">
        <f>'[1]Prior Year'!AO59</f>
        <v>0</v>
      </c>
      <c r="E534" s="2">
        <f>AO59</f>
        <v>0</v>
      </c>
      <c r="F534" s="336" t="str">
        <f t="shared" si="18"/>
        <v/>
      </c>
      <c r="G534" s="336" t="str">
        <f t="shared" si="18"/>
        <v/>
      </c>
      <c r="H534" s="337" t="str">
        <f t="shared" si="16"/>
        <v/>
      </c>
      <c r="I534" s="266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>
        <f>'[1]Prior Year'!AP71</f>
        <v>0</v>
      </c>
      <c r="C535" s="335">
        <f>AP71</f>
        <v>0</v>
      </c>
      <c r="D535" s="335">
        <f>'[1]Prior Year'!AP59</f>
        <v>0</v>
      </c>
      <c r="E535" s="2">
        <f>AP59</f>
        <v>0</v>
      </c>
      <c r="F535" s="336" t="str">
        <f t="shared" si="18"/>
        <v/>
      </c>
      <c r="G535" s="336" t="str">
        <f t="shared" si="18"/>
        <v/>
      </c>
      <c r="H535" s="337" t="str">
        <f t="shared" si="16"/>
        <v/>
      </c>
      <c r="I535" s="266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>
        <f>'[1]Prior Year'!AQ71</f>
        <v>0</v>
      </c>
      <c r="C536" s="335">
        <f>AQ71</f>
        <v>0</v>
      </c>
      <c r="D536" s="335">
        <f>'[1]Prior Year'!AQ59</f>
        <v>0</v>
      </c>
      <c r="E536" s="2">
        <f>AQ59</f>
        <v>0</v>
      </c>
      <c r="F536" s="336" t="str">
        <f t="shared" si="18"/>
        <v/>
      </c>
      <c r="G536" s="336" t="str">
        <f t="shared" si="18"/>
        <v/>
      </c>
      <c r="H536" s="337" t="str">
        <f t="shared" si="16"/>
        <v/>
      </c>
      <c r="I536" s="266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>
        <f>'[1]Prior Year'!AR71</f>
        <v>0</v>
      </c>
      <c r="C537" s="335">
        <f>AR71</f>
        <v>0</v>
      </c>
      <c r="D537" s="335">
        <f>'[1]Prior Year'!AR59</f>
        <v>0</v>
      </c>
      <c r="E537" s="2">
        <f>AR59</f>
        <v>0</v>
      </c>
      <c r="F537" s="336" t="str">
        <f t="shared" si="18"/>
        <v/>
      </c>
      <c r="G537" s="336" t="str">
        <f t="shared" si="18"/>
        <v/>
      </c>
      <c r="H537" s="337" t="str">
        <f t="shared" si="16"/>
        <v/>
      </c>
      <c r="I537" s="266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>
        <f>'[1]Prior Year'!AS71</f>
        <v>0</v>
      </c>
      <c r="C538" s="335">
        <f>AS71</f>
        <v>0</v>
      </c>
      <c r="D538" s="335">
        <f>'[1]Prior Year'!AS59</f>
        <v>0</v>
      </c>
      <c r="E538" s="2">
        <f>AS59</f>
        <v>0</v>
      </c>
      <c r="F538" s="336" t="str">
        <f t="shared" si="18"/>
        <v/>
      </c>
      <c r="G538" s="336" t="str">
        <f t="shared" si="18"/>
        <v/>
      </c>
      <c r="H538" s="337" t="str">
        <f t="shared" si="16"/>
        <v/>
      </c>
      <c r="I538" s="266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>
        <f>'[1]Prior Year'!AT71</f>
        <v>0</v>
      </c>
      <c r="C539" s="335">
        <f>AT71</f>
        <v>0</v>
      </c>
      <c r="D539" s="335">
        <f>'[1]Prior Year'!AT59</f>
        <v>0</v>
      </c>
      <c r="E539" s="2">
        <f>AT59</f>
        <v>0</v>
      </c>
      <c r="F539" s="336" t="str">
        <f t="shared" si="18"/>
        <v/>
      </c>
      <c r="G539" s="336" t="str">
        <f t="shared" si="18"/>
        <v/>
      </c>
      <c r="H539" s="337" t="str">
        <f t="shared" si="16"/>
        <v/>
      </c>
      <c r="I539" s="266"/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>
        <f>'[1]Prior Year'!AU71</f>
        <v>0</v>
      </c>
      <c r="C540" s="335">
        <f>AU71</f>
        <v>0</v>
      </c>
      <c r="D540" s="335">
        <f>'[1]Prior Year'!AU59</f>
        <v>0</v>
      </c>
      <c r="E540" s="2">
        <f>AU59</f>
        <v>0</v>
      </c>
      <c r="F540" s="336" t="str">
        <f t="shared" si="18"/>
        <v/>
      </c>
      <c r="G540" s="336" t="str">
        <f t="shared" si="18"/>
        <v/>
      </c>
      <c r="H540" s="337" t="str">
        <f t="shared" si="16"/>
        <v/>
      </c>
      <c r="I540" s="266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>
        <f>'[1]Prior Year'!AV71</f>
        <v>261339</v>
      </c>
      <c r="C541" s="335">
        <f>AV71</f>
        <v>-9825</v>
      </c>
      <c r="D541" s="329" t="s">
        <v>529</v>
      </c>
      <c r="E541" s="329" t="s">
        <v>529</v>
      </c>
      <c r="F541" s="336"/>
      <c r="G541" s="336"/>
      <c r="H541" s="337"/>
      <c r="I541" s="266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>
        <f>'[1]Prior Year'!AW71</f>
        <v>0</v>
      </c>
      <c r="C542" s="335">
        <f>AW71</f>
        <v>0</v>
      </c>
      <c r="D542" s="329" t="s">
        <v>529</v>
      </c>
      <c r="E542" s="329" t="s">
        <v>529</v>
      </c>
      <c r="F542" s="336"/>
      <c r="G542" s="336"/>
      <c r="H542" s="337"/>
      <c r="I542" s="266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>
        <f>'[1]Prior Year'!AX71</f>
        <v>0</v>
      </c>
      <c r="C543" s="335">
        <f>AX71</f>
        <v>0</v>
      </c>
      <c r="D543" s="329" t="s">
        <v>529</v>
      </c>
      <c r="E543" s="329" t="s">
        <v>529</v>
      </c>
      <c r="F543" s="336"/>
      <c r="G543" s="336"/>
      <c r="H543" s="337"/>
      <c r="I543" s="266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>
        <f>'[1]Prior Year'!AY71</f>
        <v>1771706</v>
      </c>
      <c r="C544" s="335">
        <f>AY71</f>
        <v>1861718</v>
      </c>
      <c r="D544" s="335">
        <f>'[1]Prior Year'!AY59</f>
        <v>17815</v>
      </c>
      <c r="E544" s="2">
        <f>AY59</f>
        <v>21476.37</v>
      </c>
      <c r="F544" s="336">
        <f t="shared" ref="F544:G550" si="19">IF(B544=0,"",IF(D544=0,"",B544/D544))</f>
        <v>99.450238563008696</v>
      </c>
      <c r="G544" s="336">
        <f t="shared" si="19"/>
        <v>86.686809735537253</v>
      </c>
      <c r="H544" s="337" t="str">
        <f t="shared" si="16"/>
        <v/>
      </c>
      <c r="I544" s="266"/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>
        <f>'[1]Prior Year'!AZ71</f>
        <v>-525240</v>
      </c>
      <c r="C545" s="335">
        <f>AZ71</f>
        <v>-604044</v>
      </c>
      <c r="D545" s="335">
        <f>'[1]Prior Year'!AZ59</f>
        <v>80136</v>
      </c>
      <c r="E545" s="2">
        <f>AZ59</f>
        <v>89538.42</v>
      </c>
      <c r="F545" s="336">
        <f t="shared" si="19"/>
        <v>-6.5543575920934414</v>
      </c>
      <c r="G545" s="336">
        <f t="shared" si="19"/>
        <v>-6.7461990059686112</v>
      </c>
      <c r="H545" s="337" t="str">
        <f t="shared" si="16"/>
        <v/>
      </c>
      <c r="I545" s="266"/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>
        <f>'[1]Prior Year'!BA71</f>
        <v>269047</v>
      </c>
      <c r="C546" s="335">
        <f>BA71</f>
        <v>253057</v>
      </c>
      <c r="D546" s="335">
        <f>'[1]Prior Year'!BA59</f>
        <v>0</v>
      </c>
      <c r="E546" s="2">
        <f>BA59</f>
        <v>0</v>
      </c>
      <c r="F546" s="336" t="str">
        <f t="shared" si="19"/>
        <v/>
      </c>
      <c r="G546" s="336" t="str">
        <f t="shared" si="19"/>
        <v/>
      </c>
      <c r="H546" s="337" t="str">
        <f t="shared" si="16"/>
        <v/>
      </c>
      <c r="I546" s="266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>
        <f>'[1]Prior Year'!BB71</f>
        <v>645313</v>
      </c>
      <c r="C547" s="335">
        <f>BB71</f>
        <v>619019</v>
      </c>
      <c r="D547" s="329" t="s">
        <v>529</v>
      </c>
      <c r="E547" s="329" t="s">
        <v>529</v>
      </c>
      <c r="F547" s="336"/>
      <c r="G547" s="336"/>
      <c r="H547" s="337"/>
      <c r="I547" s="266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>
        <f>'[1]Prior Year'!BC71</f>
        <v>0</v>
      </c>
      <c r="C548" s="335">
        <f>BC71</f>
        <v>0</v>
      </c>
      <c r="D548" s="329" t="s">
        <v>529</v>
      </c>
      <c r="E548" s="329" t="s">
        <v>529</v>
      </c>
      <c r="F548" s="336"/>
      <c r="G548" s="336"/>
      <c r="H548" s="337"/>
      <c r="I548" s="266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>
        <f>'[1]Prior Year'!BD71</f>
        <v>646598</v>
      </c>
      <c r="C549" s="335">
        <f>BD71</f>
        <v>648581</v>
      </c>
      <c r="D549" s="329" t="s">
        <v>529</v>
      </c>
      <c r="E549" s="329" t="s">
        <v>529</v>
      </c>
      <c r="F549" s="336"/>
      <c r="G549" s="336"/>
      <c r="H549" s="337"/>
      <c r="I549" s="266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>
        <f>'[1]Prior Year'!BE71</f>
        <v>1789236</v>
      </c>
      <c r="C550" s="335">
        <f>BE71</f>
        <v>1737260</v>
      </c>
      <c r="D550" s="335">
        <f>'[1]Prior Year'!BE59</f>
        <v>110387</v>
      </c>
      <c r="E550" s="2">
        <f>BE59</f>
        <v>120387</v>
      </c>
      <c r="F550" s="336">
        <f t="shared" si="19"/>
        <v>16.208756465888193</v>
      </c>
      <c r="G550" s="336">
        <f t="shared" si="19"/>
        <v>14.430627891715883</v>
      </c>
      <c r="H550" s="337" t="str">
        <f t="shared" si="16"/>
        <v/>
      </c>
      <c r="I550" s="266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>
        <f>'[1]Prior Year'!BF71</f>
        <v>728325</v>
      </c>
      <c r="C551" s="335">
        <f>BF71</f>
        <v>818723</v>
      </c>
      <c r="D551" s="329" t="s">
        <v>529</v>
      </c>
      <c r="E551" s="329" t="s">
        <v>529</v>
      </c>
      <c r="F551" s="336"/>
      <c r="G551" s="336"/>
      <c r="H551" s="337"/>
      <c r="I551" s="266"/>
      <c r="J551" s="324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>
        <f>'[1]Prior Year'!BG71</f>
        <v>0</v>
      </c>
      <c r="C552" s="335">
        <f>BG71</f>
        <v>0</v>
      </c>
      <c r="D552" s="329" t="s">
        <v>529</v>
      </c>
      <c r="E552" s="329" t="s">
        <v>529</v>
      </c>
      <c r="F552" s="336"/>
      <c r="G552" s="336"/>
      <c r="H552" s="337"/>
      <c r="I552" s="2"/>
      <c r="J552" s="324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>
        <f>'[1]Prior Year'!BH71</f>
        <v>1933261</v>
      </c>
      <c r="C553" s="335">
        <f>BH71</f>
        <v>1896207</v>
      </c>
      <c r="D553" s="329" t="s">
        <v>529</v>
      </c>
      <c r="E553" s="329" t="s">
        <v>529</v>
      </c>
      <c r="F553" s="336"/>
      <c r="G553" s="336"/>
      <c r="H553" s="337"/>
      <c r="I553" s="2"/>
      <c r="J553" s="324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>
        <f>'[1]Prior Year'!BI71</f>
        <v>893997</v>
      </c>
      <c r="C554" s="335">
        <f>BI71</f>
        <v>908734</v>
      </c>
      <c r="D554" s="329" t="s">
        <v>529</v>
      </c>
      <c r="E554" s="329" t="s">
        <v>529</v>
      </c>
      <c r="F554" s="336"/>
      <c r="G554" s="336"/>
      <c r="H554" s="337"/>
      <c r="I554" s="2"/>
      <c r="J554" s="324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>
        <f>'[1]Prior Year'!BJ71</f>
        <v>0</v>
      </c>
      <c r="C555" s="335">
        <f>BJ71</f>
        <v>0</v>
      </c>
      <c r="D555" s="329" t="s">
        <v>529</v>
      </c>
      <c r="E555" s="329" t="s">
        <v>529</v>
      </c>
      <c r="F555" s="336"/>
      <c r="G555" s="336"/>
      <c r="H555" s="337"/>
      <c r="I555" s="2"/>
      <c r="J555" s="324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>
        <f>'[1]Prior Year'!BK71</f>
        <v>1470795</v>
      </c>
      <c r="C556" s="335">
        <f>BK71</f>
        <v>1393769</v>
      </c>
      <c r="D556" s="329" t="s">
        <v>529</v>
      </c>
      <c r="E556" s="329" t="s">
        <v>529</v>
      </c>
      <c r="F556" s="336"/>
      <c r="G556" s="336"/>
      <c r="H556" s="337"/>
      <c r="I556" s="2"/>
      <c r="J556" s="324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>
        <f>'[1]Prior Year'!BL71</f>
        <v>634021</v>
      </c>
      <c r="C557" s="335">
        <f>BL71</f>
        <v>636392</v>
      </c>
      <c r="D557" s="329" t="s">
        <v>529</v>
      </c>
      <c r="E557" s="329" t="s">
        <v>529</v>
      </c>
      <c r="F557" s="336"/>
      <c r="G557" s="336"/>
      <c r="H557" s="337"/>
      <c r="I557" s="2"/>
      <c r="J557" s="324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>
        <f>'[1]Prior Year'!BM71</f>
        <v>-37838</v>
      </c>
      <c r="C558" s="335">
        <f>BM71</f>
        <v>264325</v>
      </c>
      <c r="D558" s="329" t="s">
        <v>529</v>
      </c>
      <c r="E558" s="329" t="s">
        <v>529</v>
      </c>
      <c r="F558" s="336"/>
      <c r="G558" s="336"/>
      <c r="H558" s="337"/>
      <c r="I558" s="2"/>
      <c r="J558" s="324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>
        <f>'[1]Prior Year'!BN71</f>
        <v>1429266</v>
      </c>
      <c r="C559" s="335">
        <f>BN71</f>
        <v>1534633</v>
      </c>
      <c r="D559" s="329" t="s">
        <v>529</v>
      </c>
      <c r="E559" s="329" t="s">
        <v>529</v>
      </c>
      <c r="F559" s="336"/>
      <c r="G559" s="336"/>
      <c r="H559" s="337"/>
      <c r="I559" s="2"/>
      <c r="J559" s="324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>
        <f>'[1]Prior Year'!BO71</f>
        <v>137105</v>
      </c>
      <c r="C560" s="335">
        <f>BO71</f>
        <v>130780</v>
      </c>
      <c r="D560" s="329" t="s">
        <v>529</v>
      </c>
      <c r="E560" s="329" t="s">
        <v>529</v>
      </c>
      <c r="F560" s="336"/>
      <c r="G560" s="336"/>
      <c r="H560" s="337"/>
      <c r="I560" s="2"/>
      <c r="J560" s="324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>
        <f>'[1]Prior Year'!BP71</f>
        <v>777166</v>
      </c>
      <c r="C561" s="335">
        <f>BP71</f>
        <v>865921</v>
      </c>
      <c r="D561" s="329" t="s">
        <v>529</v>
      </c>
      <c r="E561" s="329" t="s">
        <v>529</v>
      </c>
      <c r="F561" s="336"/>
      <c r="G561" s="336"/>
      <c r="H561" s="337"/>
      <c r="I561" s="2"/>
      <c r="J561" s="324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>
        <f>'[1]Prior Year'!BQ71</f>
        <v>0</v>
      </c>
      <c r="C562" s="335">
        <f>BQ71</f>
        <v>0</v>
      </c>
      <c r="D562" s="329" t="s">
        <v>529</v>
      </c>
      <c r="E562" s="329" t="s">
        <v>529</v>
      </c>
      <c r="F562" s="336"/>
      <c r="G562" s="336"/>
      <c r="H562" s="337"/>
      <c r="I562" s="2"/>
      <c r="J562" s="324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>
        <f>'[1]Prior Year'!BR71</f>
        <v>853168</v>
      </c>
      <c r="C563" s="335">
        <f>BR71</f>
        <v>972272</v>
      </c>
      <c r="D563" s="329" t="s">
        <v>529</v>
      </c>
      <c r="E563" s="329" t="s">
        <v>529</v>
      </c>
      <c r="F563" s="336"/>
      <c r="G563" s="336"/>
      <c r="H563" s="337"/>
      <c r="I563" s="2"/>
      <c r="J563" s="324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>
        <f>'[1]Prior Year'!BS71</f>
        <v>0</v>
      </c>
      <c r="C564" s="335">
        <f>BS71</f>
        <v>0</v>
      </c>
      <c r="D564" s="329" t="s">
        <v>529</v>
      </c>
      <c r="E564" s="329" t="s">
        <v>529</v>
      </c>
      <c r="F564" s="336"/>
      <c r="G564" s="336"/>
      <c r="H564" s="337"/>
      <c r="I564" s="2"/>
      <c r="J564" s="324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>
        <f>'[1]Prior Year'!BT71</f>
        <v>0</v>
      </c>
      <c r="C565" s="335">
        <f>BT71</f>
        <v>0</v>
      </c>
      <c r="D565" s="329" t="s">
        <v>529</v>
      </c>
      <c r="E565" s="329" t="s">
        <v>529</v>
      </c>
      <c r="F565" s="336"/>
      <c r="G565" s="336"/>
      <c r="H565" s="337"/>
      <c r="I565" s="2"/>
      <c r="J565" s="324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>
        <f>'[1]Prior Year'!BU71</f>
        <v>0</v>
      </c>
      <c r="C566" s="335">
        <f>BU71</f>
        <v>0</v>
      </c>
      <c r="D566" s="329" t="s">
        <v>529</v>
      </c>
      <c r="E566" s="329" t="s">
        <v>529</v>
      </c>
      <c r="F566" s="336"/>
      <c r="G566" s="336"/>
      <c r="H566" s="337"/>
      <c r="I566" s="2"/>
      <c r="J566" s="324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>
        <f>'[1]Prior Year'!BV71</f>
        <v>623160</v>
      </c>
      <c r="C567" s="335">
        <f>BV71</f>
        <v>603722</v>
      </c>
      <c r="D567" s="329" t="s">
        <v>529</v>
      </c>
      <c r="E567" s="329" t="s">
        <v>529</v>
      </c>
      <c r="F567" s="336"/>
      <c r="G567" s="336"/>
      <c r="H567" s="337"/>
      <c r="I567" s="2"/>
      <c r="J567" s="324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>
        <f>'[1]Prior Year'!BW71</f>
        <v>1616532</v>
      </c>
      <c r="C568" s="335">
        <f>BW71</f>
        <v>1769561</v>
      </c>
      <c r="D568" s="329" t="s">
        <v>529</v>
      </c>
      <c r="E568" s="329" t="s">
        <v>529</v>
      </c>
      <c r="F568" s="336"/>
      <c r="G568" s="336"/>
      <c r="H568" s="337"/>
      <c r="I568" s="2"/>
      <c r="J568" s="324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>
        <f>'[1]Prior Year'!BX71</f>
        <v>423908</v>
      </c>
      <c r="C569" s="335">
        <f>BX71</f>
        <v>423513</v>
      </c>
      <c r="D569" s="329" t="s">
        <v>529</v>
      </c>
      <c r="E569" s="329" t="s">
        <v>529</v>
      </c>
      <c r="F569" s="336"/>
      <c r="G569" s="336"/>
      <c r="H569" s="337"/>
      <c r="I569" s="2"/>
      <c r="J569" s="324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>
        <f>'[1]Prior Year'!BY71</f>
        <v>1163380</v>
      </c>
      <c r="C570" s="335">
        <f>BY71</f>
        <v>1047611</v>
      </c>
      <c r="D570" s="329" t="s">
        <v>529</v>
      </c>
      <c r="E570" s="329" t="s">
        <v>529</v>
      </c>
      <c r="F570" s="336"/>
      <c r="G570" s="336"/>
      <c r="H570" s="337"/>
      <c r="I570" s="2"/>
      <c r="J570" s="324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>
        <f>'[1]Prior Year'!BZ71</f>
        <v>0</v>
      </c>
      <c r="C571" s="335">
        <f>BZ71</f>
        <v>0</v>
      </c>
      <c r="D571" s="329" t="s">
        <v>529</v>
      </c>
      <c r="E571" s="329" t="s">
        <v>529</v>
      </c>
      <c r="F571" s="336"/>
      <c r="G571" s="336"/>
      <c r="H571" s="337"/>
      <c r="I571" s="2"/>
      <c r="J571" s="324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>
        <f>'[1]Prior Year'!CA71</f>
        <v>0</v>
      </c>
      <c r="C572" s="335">
        <f>CA71</f>
        <v>0</v>
      </c>
      <c r="D572" s="329" t="s">
        <v>529</v>
      </c>
      <c r="E572" s="329" t="s">
        <v>529</v>
      </c>
      <c r="F572" s="336"/>
      <c r="G572" s="336"/>
      <c r="H572" s="337"/>
      <c r="I572" s="2"/>
      <c r="J572" s="324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>
        <f>'[1]Prior Year'!CB71</f>
        <v>0</v>
      </c>
      <c r="C573" s="335">
        <f>CB71</f>
        <v>0</v>
      </c>
      <c r="D573" s="329" t="s">
        <v>529</v>
      </c>
      <c r="E573" s="329" t="s">
        <v>529</v>
      </c>
      <c r="F573" s="336"/>
      <c r="G573" s="336"/>
      <c r="H573" s="337"/>
      <c r="I573" s="2"/>
      <c r="J573" s="324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>
        <f>'[1]Prior Year'!CC71</f>
        <v>579882</v>
      </c>
      <c r="C574" s="335">
        <f>CC71</f>
        <v>611098</v>
      </c>
      <c r="D574" s="329" t="s">
        <v>529</v>
      </c>
      <c r="E574" s="329" t="s">
        <v>529</v>
      </c>
      <c r="F574" s="336"/>
      <c r="G574" s="336"/>
      <c r="H574" s="337"/>
      <c r="I574" s="2"/>
      <c r="J574" s="324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>
        <f>'[1]Prior Year'!CD71</f>
        <v>1382940</v>
      </c>
      <c r="C575" s="335">
        <f>CD71</f>
        <v>1532668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107236</v>
      </c>
      <c r="E612" s="2">
        <f>SUM(C624:D647)+SUM(C668:D713)</f>
        <v>61428333.892909102</v>
      </c>
      <c r="F612" s="2">
        <f>CE64-(AX64+BD64+BE64+BG64+BJ64+BN64+BP64+BQ64+CB64+CC64+CD64)</f>
        <v>11918628</v>
      </c>
      <c r="G612" s="2">
        <f>CE77-(AX77+AY77+BD77+BE77+BG77+BJ77+BN77+BP77+BQ77+CB77+CC77+CD77)</f>
        <v>21476.36</v>
      </c>
      <c r="H612" s="328">
        <f>CE60-(AX60+AY60+AZ60+BD60+BE60+BG60+BJ60+BN60+BO60+BP60+BQ60+BR60+CB60+CC60+CD60)</f>
        <v>335.29000000000008</v>
      </c>
      <c r="I612" s="2">
        <f>CE78-(AX78+AY78+AZ78+BD78+BE78+BF78+BG78+BJ78+BN78+BO78+BP78+BQ78+BR78+CB78+CC78+CD78)</f>
        <v>20278</v>
      </c>
      <c r="J612" s="2">
        <f>CE79-(AX79+AY79+AZ79+BA79+BD79+BE79+BF79+BG79+BJ79+BN79+BO79+BP79+BQ79+BR79+CB79+CC79+CD79)</f>
        <v>396523</v>
      </c>
      <c r="K612" s="2">
        <f>CE75-(AW75+AX75+AY75+AZ75+BA75+BB75+BC75+BD75+BE75+BF75+BG75+BH75+BI75+BJ75+BK75+BL75+BM75+BN75+BO75+BP75+BQ75+BR75+BS75+BT75+BU75+BV75+BW75+BX75+CB75+CC75+CD75)</f>
        <v>132569203</v>
      </c>
      <c r="L612" s="328">
        <f>CE80-(AW80+AX80+AY80+AZ80+BA80+BB80+BC80+BD80+BE80+BF80+BG80+BH80+BI80+BJ80+BK80+BL80+BM80+BN80+BO80+BP80+BQ80+BR80+BS80+BT80+BU80+BV80+BW80+BX80+BY80+BZ80+CA80+CB80+CC80+CD80)</f>
        <v>81.663809134615391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1737260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1532668</v>
      </c>
      <c r="D615" s="340">
        <f>SUM(C614:C615)</f>
        <v>3269928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1534633</v>
      </c>
      <c r="D619" s="2">
        <f>(D615/D612)*BN76</f>
        <v>108706.90178671342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611098</v>
      </c>
      <c r="D620" s="2">
        <f>(D615/D612)*CC76</f>
        <v>770004.67992092215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865921</v>
      </c>
      <c r="D621" s="2">
        <f>(D615/D612)*BP76</f>
        <v>8385.5253832668132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0</v>
      </c>
      <c r="D623" s="2">
        <f>(D615/D612)*BQ76</f>
        <v>0</v>
      </c>
      <c r="E623" s="2">
        <f>SUM(C616:D623)</f>
        <v>3898749.107090902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648581</v>
      </c>
      <c r="D624" s="2">
        <f>(D615/D612)*BD76</f>
        <v>85959.258383378721</v>
      </c>
      <c r="E624" s="2">
        <f>(E623/E612)*SUM(C624:D624)</f>
        <v>46619.98779727763</v>
      </c>
      <c r="F624" s="2">
        <f>SUM(C624:E624)</f>
        <v>781160.24618065637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1861718</v>
      </c>
      <c r="D625" s="2">
        <f>(D615/D612)*AY76</f>
        <v>145328.77809690777</v>
      </c>
      <c r="E625" s="2">
        <f>(E623/E612)*SUM(C625:D625)</f>
        <v>127383.75498897026</v>
      </c>
      <c r="F625" s="2">
        <f>(F624/F612)*AY64</f>
        <v>42004.452751942787</v>
      </c>
      <c r="G625" s="2">
        <f>SUM(C625:F625)</f>
        <v>2176434.9858378209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972272</v>
      </c>
      <c r="D626" s="2">
        <f>(D615/D612)*BR76</f>
        <v>8385.5253832668132</v>
      </c>
      <c r="E626" s="2">
        <f>(E623/E612)*SUM(C626:D626)</f>
        <v>62240.621048185829</v>
      </c>
      <c r="F626" s="2">
        <f>(F624/F612)*BR64</f>
        <v>555.19884045347669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130780</v>
      </c>
      <c r="D627" s="2">
        <f>(D615/D612)*BO76</f>
        <v>0</v>
      </c>
      <c r="E627" s="2">
        <f>(E623/E612)*SUM(C627:D627)</f>
        <v>8300.3782768102283</v>
      </c>
      <c r="F627" s="2">
        <f>(F624/F612)*BO64</f>
        <v>182.92527018128362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-604044</v>
      </c>
      <c r="D628" s="2">
        <f>(D615/D612)*AZ76</f>
        <v>0</v>
      </c>
      <c r="E628" s="2">
        <f>(E623/E612)*SUM(C628:D628)</f>
        <v>-38337.618105502042</v>
      </c>
      <c r="F628" s="2">
        <f>(F624/F612)*AZ64</f>
        <v>0</v>
      </c>
      <c r="G628" s="2">
        <f>(G625/G612)*AZ77</f>
        <v>0</v>
      </c>
      <c r="H628" s="2">
        <f>SUM(C626:G628)</f>
        <v>540335.03071339591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818723</v>
      </c>
      <c r="D629" s="2">
        <f>(D615/D612)*BF76</f>
        <v>11434.807340818383</v>
      </c>
      <c r="E629" s="2">
        <f>(E623/E612)*SUM(C629:D629)</f>
        <v>52688.666695030879</v>
      </c>
      <c r="F629" s="2">
        <f>(F624/F612)*BF64</f>
        <v>3355.7054221718813</v>
      </c>
      <c r="G629" s="2">
        <f>(G625/G612)*BF77</f>
        <v>0</v>
      </c>
      <c r="H629" s="2">
        <f>(H628/H612)*BF60</f>
        <v>23979.794378046856</v>
      </c>
      <c r="I629" s="2">
        <f>SUM(C629:H629)</f>
        <v>910181.97383606795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253057</v>
      </c>
      <c r="D630" s="2">
        <f>(D615/D612)*BA76</f>
        <v>39457.708530717297</v>
      </c>
      <c r="E630" s="2">
        <f>(E623/E612)*SUM(C630:D630)</f>
        <v>18565.397861567835</v>
      </c>
      <c r="F630" s="2">
        <f>(F624/F612)*BA64</f>
        <v>11.994025239403404</v>
      </c>
      <c r="G630" s="2">
        <f>(G625/G612)*BA77</f>
        <v>0</v>
      </c>
      <c r="H630" s="2">
        <f>(H628/H612)*BA60</f>
        <v>161.15453211052994</v>
      </c>
      <c r="I630" s="2">
        <f>(I629/I612)*BA78</f>
        <v>14946.769764642007</v>
      </c>
      <c r="J630" s="2">
        <f>SUM(C630:I630)</f>
        <v>326200.02471427713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619019</v>
      </c>
      <c r="D632" s="2">
        <f>(D615/D612)*BB76</f>
        <v>4573.9229363273525</v>
      </c>
      <c r="E632" s="2">
        <f>(E623/E612)*SUM(C632:D632)</f>
        <v>39578.354114645103</v>
      </c>
      <c r="F632" s="2">
        <f>(F624/F612)*BB64</f>
        <v>306.53582538081815</v>
      </c>
      <c r="G632" s="2">
        <f>(G625/G612)*BB77</f>
        <v>0</v>
      </c>
      <c r="H632" s="2">
        <f>(H628/H612)*BB60</f>
        <v>10442.81368076234</v>
      </c>
      <c r="I632" s="2">
        <f>(I629/I612)*BB78</f>
        <v>1795.4077795365774</v>
      </c>
      <c r="J632" s="2">
        <f>(J630/J612)*BB79</f>
        <v>0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908734</v>
      </c>
      <c r="D634" s="2">
        <f>(D615/D612)*BI76</f>
        <v>0</v>
      </c>
      <c r="E634" s="2">
        <f>(E623/E612)*SUM(C634:D634)</f>
        <v>57675.760460306359</v>
      </c>
      <c r="F634" s="2">
        <f>(F624/F612)*BI64</f>
        <v>399.9974646780272</v>
      </c>
      <c r="G634" s="2">
        <f>(G625/G612)*BI77</f>
        <v>0</v>
      </c>
      <c r="H634" s="2">
        <f>(H628/H612)*BI60</f>
        <v>8154.4193247928142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1393769</v>
      </c>
      <c r="D635" s="2">
        <f>(D615/D612)*BK76</f>
        <v>0</v>
      </c>
      <c r="E635" s="2">
        <f>(E623/E612)*SUM(C635:D635)</f>
        <v>88460.08510851441</v>
      </c>
      <c r="F635" s="2">
        <f>(F624/F612)*BK64</f>
        <v>1746.9985942967089</v>
      </c>
      <c r="G635" s="2">
        <f>(G625/G612)*BK77</f>
        <v>0</v>
      </c>
      <c r="H635" s="2">
        <f>(H628/H612)*BK60</f>
        <v>19048.465695464638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1896207</v>
      </c>
      <c r="D636" s="2">
        <f>(D615/D612)*BH76</f>
        <v>56930.094147487784</v>
      </c>
      <c r="E636" s="2">
        <f>(E623/E612)*SUM(C636:D636)</f>
        <v>123962.20146730433</v>
      </c>
      <c r="F636" s="2">
        <f>(F624/F612)*BH64</f>
        <v>471.50282826376008</v>
      </c>
      <c r="G636" s="2">
        <f>(G625/G612)*BH77</f>
        <v>0</v>
      </c>
      <c r="H636" s="2">
        <f>(H628/H612)*BH60</f>
        <v>9991.5809908528554</v>
      </c>
      <c r="I636" s="2">
        <f>(I629/I612)*BH78</f>
        <v>13914.410291408474</v>
      </c>
      <c r="J636" s="2">
        <f>(J630/J612)*BH79</f>
        <v>0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636392</v>
      </c>
      <c r="D637" s="2">
        <f>(D615/D612)*BL76</f>
        <v>26406.781752396582</v>
      </c>
      <c r="E637" s="2">
        <f>(E623/E612)*SUM(C637:D637)</f>
        <v>42066.68152587457</v>
      </c>
      <c r="F637" s="2">
        <f>(F624/F612)*BL64</f>
        <v>702.40419940265735</v>
      </c>
      <c r="G637" s="2">
        <f>(G625/G612)*BL77</f>
        <v>0</v>
      </c>
      <c r="H637" s="2">
        <f>(H628/H612)*BL60</f>
        <v>19499.698385374122</v>
      </c>
      <c r="I637" s="2">
        <f>(I629/I612)*BL78</f>
        <v>10009.398370916419</v>
      </c>
      <c r="J637" s="2">
        <f>(J630/J612)*BL79</f>
        <v>0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264325</v>
      </c>
      <c r="D638" s="2">
        <f>(D615/D612)*BM76</f>
        <v>8385.5253832668132</v>
      </c>
      <c r="E638" s="2">
        <f>(E623/E612)*SUM(C638:D638)</f>
        <v>17308.460932472641</v>
      </c>
      <c r="F638" s="2">
        <f>(F624/F612)*BM64</f>
        <v>358.96872260225382</v>
      </c>
      <c r="G638" s="2">
        <f>(G625/G612)*BM77</f>
        <v>0</v>
      </c>
      <c r="H638" s="2">
        <f>(H628/H612)*BM60</f>
        <v>6478.4121908433026</v>
      </c>
      <c r="I638" s="2">
        <f>(I629/I612)*BM78</f>
        <v>3141.9636141890105</v>
      </c>
      <c r="J638" s="2">
        <f>(J630/J612)*BM79</f>
        <v>0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603722</v>
      </c>
      <c r="D642" s="2">
        <f>(D615/D612)*BV76</f>
        <v>41256.784885672721</v>
      </c>
      <c r="E642" s="2">
        <f>(E623/E612)*SUM(C642:D642)</f>
        <v>40935.677435911413</v>
      </c>
      <c r="F642" s="2">
        <f>(F624/F612)*BV64</f>
        <v>415.3996282368239</v>
      </c>
      <c r="G642" s="2">
        <f>(G625/G612)*BV77</f>
        <v>0</v>
      </c>
      <c r="H642" s="2">
        <f>(H628/H612)*BV60</f>
        <v>7815.9948073607011</v>
      </c>
      <c r="I642" s="2">
        <f>(I629/I612)*BV78</f>
        <v>15620.047681968223</v>
      </c>
      <c r="J642" s="2">
        <f>(J630/J612)*BV79</f>
        <v>0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1769561</v>
      </c>
      <c r="D643" s="2">
        <f>(D615/D612)*BW76</f>
        <v>4573.9229363273525</v>
      </c>
      <c r="E643" s="2">
        <f>(E623/E612)*SUM(C643:D643)</f>
        <v>112601.24617274108</v>
      </c>
      <c r="F643" s="2">
        <f>(F624/F612)*BW64</f>
        <v>424.70646749362874</v>
      </c>
      <c r="G643" s="2">
        <f>(G625/G612)*BW77</f>
        <v>0</v>
      </c>
      <c r="H643" s="2">
        <f>(H628/H612)*BW60</f>
        <v>5704.8704367127593</v>
      </c>
      <c r="I643" s="2">
        <f>(I629/I612)*BW78</f>
        <v>1750.5225850481629</v>
      </c>
      <c r="J643" s="2">
        <f>(J630/J612)*BW79</f>
        <v>0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423513</v>
      </c>
      <c r="D644" s="2">
        <f>(D615/D612)*BX76</f>
        <v>4573.9229363273525</v>
      </c>
      <c r="E644" s="2">
        <f>(E623/E612)*SUM(C644:D644)</f>
        <v>27169.92962018065</v>
      </c>
      <c r="F644" s="2">
        <f>(F624/F612)*BX64</f>
        <v>189.74154682007025</v>
      </c>
      <c r="G644" s="2">
        <f>(G625/G612)*BX77</f>
        <v>0</v>
      </c>
      <c r="H644" s="2">
        <f>(H628/H612)*BX60</f>
        <v>4931.3286825822161</v>
      </c>
      <c r="I644" s="2">
        <f>(I629/I612)*BX78</f>
        <v>1795.4077795365774</v>
      </c>
      <c r="J644" s="2">
        <f>(J630/J612)*BX79</f>
        <v>0</v>
      </c>
      <c r="K644" s="2">
        <f>SUM(C631:J644)</f>
        <v>9356812.3493902832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1047611</v>
      </c>
      <c r="D645" s="2">
        <f>(D615/D612)*BY76</f>
        <v>4573.9229363273525</v>
      </c>
      <c r="E645" s="2">
        <f>(E623/E612)*SUM(C645:D645)</f>
        <v>66780.340094264684</v>
      </c>
      <c r="F645" s="2">
        <f>(F624/F612)*BY64</f>
        <v>312.76223192586366</v>
      </c>
      <c r="G645" s="2">
        <f>(G625/G612)*BY77</f>
        <v>0</v>
      </c>
      <c r="H645" s="2">
        <f>(H628/H612)*BY60</f>
        <v>10700.660932139186</v>
      </c>
      <c r="I645" s="2">
        <f>(I629/I612)*BY78</f>
        <v>1795.4077795365774</v>
      </c>
      <c r="J645" s="2">
        <f>(J630/J612)*BY79</f>
        <v>0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1131774.0939741938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19925520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1662774</v>
      </c>
      <c r="D668" s="2">
        <f>(D615/D612)*C76</f>
        <v>55009.0465142303</v>
      </c>
      <c r="E668" s="2">
        <f>(E623/E612)*SUM(C668:D668)</f>
        <v>109024.69095855337</v>
      </c>
      <c r="F668" s="2">
        <f>(F624/F612)*C64</f>
        <v>3714.6086036526085</v>
      </c>
      <c r="G668" s="2">
        <f>(G625/G612)*C77</f>
        <v>371674.05913568957</v>
      </c>
      <c r="H668" s="2">
        <f>(H628/H612)*C60</f>
        <v>24124.833456946333</v>
      </c>
      <c r="I668" s="2">
        <f>(I629/I612)*C78</f>
        <v>41698.345679737009</v>
      </c>
      <c r="J668" s="2">
        <f>(J630/J612)*C79</f>
        <v>17235.3601626862</v>
      </c>
      <c r="K668" s="2">
        <f>(K644/K612)*C75</f>
        <v>172271.97083921681</v>
      </c>
      <c r="L668" s="2">
        <f>(L647/L612)*C80</f>
        <v>147795.96816511886</v>
      </c>
      <c r="M668" s="2">
        <f t="shared" ref="M668:M713" si="20">ROUND(SUM(D668:L668),0)</f>
        <v>942549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4488628</v>
      </c>
      <c r="D670" s="2">
        <f>(D615/D612)*E76</f>
        <v>296176.75653698383</v>
      </c>
      <c r="E670" s="2">
        <f>(E623/E612)*SUM(C670:D670)</f>
        <v>303683.20431211067</v>
      </c>
      <c r="F670" s="2">
        <f>(F624/F612)*E64</f>
        <v>6350.8035937033392</v>
      </c>
      <c r="G670" s="2">
        <f>(G625/G612)*E77</f>
        <v>884495.8103511784</v>
      </c>
      <c r="H670" s="2">
        <f>(H628/H612)*E60</f>
        <v>51343.833930414832</v>
      </c>
      <c r="I670" s="2">
        <f>(I629/I612)*E78</f>
        <v>168723.44608194986</v>
      </c>
      <c r="J670" s="2">
        <f>(J630/J612)*E79</f>
        <v>51706.903139013812</v>
      </c>
      <c r="K670" s="2">
        <f>(K644/K612)*E75</f>
        <v>420199.27436766645</v>
      </c>
      <c r="L670" s="2">
        <f>(L647/L612)*E80</f>
        <v>212408.8800559479</v>
      </c>
      <c r="M670" s="2">
        <f t="shared" si="20"/>
        <v>2395089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20108.057298293101</v>
      </c>
      <c r="K675" s="2">
        <f>(K644/K612)*J75</f>
        <v>34405.213613857115</v>
      </c>
      <c r="L675" s="2">
        <f>(L647/L612)*J80</f>
        <v>0</v>
      </c>
      <c r="M675" s="2">
        <f t="shared" si="20"/>
        <v>54513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15646.375413641035</v>
      </c>
      <c r="L677" s="2">
        <f>(L647/L612)*L80</f>
        <v>0</v>
      </c>
      <c r="M677" s="2">
        <f t="shared" si="20"/>
        <v>15646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2731315</v>
      </c>
      <c r="D680" s="2">
        <f>(D615/D612)*O76</f>
        <v>252511.03890484539</v>
      </c>
      <c r="E680" s="2">
        <f>(E623/E612)*SUM(C680:D680)</f>
        <v>189378.22935545564</v>
      </c>
      <c r="F680" s="2">
        <f>(F624/F612)*O64</f>
        <v>6811.492136915178</v>
      </c>
      <c r="G680" s="2">
        <f>(G625/G612)*O77</f>
        <v>494416.20567016059</v>
      </c>
      <c r="H680" s="2">
        <f>(H628/H612)*O60</f>
        <v>35147.803453306573</v>
      </c>
      <c r="I680" s="2">
        <f>(I629/I612)*O78</f>
        <v>125050.15184472261</v>
      </c>
      <c r="J680" s="2">
        <f>(J630/J612)*O79</f>
        <v>40216.114596586202</v>
      </c>
      <c r="K680" s="2">
        <f>(K644/K612)*O75</f>
        <v>194490.24599850559</v>
      </c>
      <c r="L680" s="2">
        <f>(L647/L612)*O80</f>
        <v>210563.98819514777</v>
      </c>
      <c r="M680" s="2">
        <f t="shared" si="20"/>
        <v>1548585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7222692</v>
      </c>
      <c r="D681" s="2">
        <f>(D615/D612)*P76</f>
        <v>491330.80182028422</v>
      </c>
      <c r="E681" s="2">
        <f>(E623/E612)*SUM(C681:D681)</f>
        <v>489595.55965015944</v>
      </c>
      <c r="F681" s="2">
        <f>(F624/F612)*P64</f>
        <v>90807.944827710657</v>
      </c>
      <c r="G681" s="2">
        <f>(G625/G612)*P77</f>
        <v>265341.0411922303</v>
      </c>
      <c r="H681" s="2">
        <f>(H628/H612)*P60</f>
        <v>77902.100822230175</v>
      </c>
      <c r="I681" s="2">
        <f>(I629/I612)*P78</f>
        <v>99375.820597349564</v>
      </c>
      <c r="J681" s="2">
        <f>(J630/J612)*P79</f>
        <v>51706.903139013812</v>
      </c>
      <c r="K681" s="2">
        <f>(K644/K612)*P75</f>
        <v>1269821.1532318953</v>
      </c>
      <c r="L681" s="2">
        <f>(L647/L612)*P80</f>
        <v>346555.0084692653</v>
      </c>
      <c r="M681" s="2">
        <f t="shared" si="20"/>
        <v>3182436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478914</v>
      </c>
      <c r="D683" s="2">
        <f>(D615/D612)*R76</f>
        <v>0</v>
      </c>
      <c r="E683" s="2">
        <f>(E623/E612)*SUM(C683:D683)</f>
        <v>30395.835464599277</v>
      </c>
      <c r="F683" s="2">
        <f>(F624/F612)*R64</f>
        <v>7843.2404719899778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279248.21601049707</v>
      </c>
      <c r="L683" s="2">
        <f>(L647/L612)*R80</f>
        <v>0</v>
      </c>
      <c r="M683" s="2">
        <f t="shared" si="20"/>
        <v>317487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4870749</v>
      </c>
      <c r="D684" s="2">
        <f>(D615/D612)*S76</f>
        <v>43879.167369167073</v>
      </c>
      <c r="E684" s="2">
        <f>(E623/E612)*SUM(C684:D684)</f>
        <v>311922.86954450753</v>
      </c>
      <c r="F684" s="2">
        <f>(F624/F612)*S64</f>
        <v>308923.68506140384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1217919.6469828421</v>
      </c>
      <c r="L684" s="2">
        <f>(L647/L612)*S80</f>
        <v>0</v>
      </c>
      <c r="M684" s="2">
        <f t="shared" si="20"/>
        <v>1882645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2643619</v>
      </c>
      <c r="D686" s="2">
        <f>(D615/D612)*U76</f>
        <v>59765.926368010747</v>
      </c>
      <c r="E686" s="2">
        <f>(E623/E612)*SUM(C686:D686)</f>
        <v>171579.12155284639</v>
      </c>
      <c r="F686" s="2">
        <f>(F624/F612)*U64</f>
        <v>40741.409798999928</v>
      </c>
      <c r="G686" s="2">
        <f>(G625/G612)*U77</f>
        <v>0</v>
      </c>
      <c r="H686" s="2">
        <f>(H628/H612)*U60</f>
        <v>25542.993339518995</v>
      </c>
      <c r="I686" s="2">
        <f>(I629/I612)*U78</f>
        <v>41698.345679737009</v>
      </c>
      <c r="J686" s="2">
        <f>(J630/J612)*U79</f>
        <v>8618.0914068207076</v>
      </c>
      <c r="K686" s="2">
        <f>(K644/K612)*U75</f>
        <v>730667.54319940961</v>
      </c>
      <c r="L686" s="2">
        <f>(L647/L612)*U80</f>
        <v>0</v>
      </c>
      <c r="M686" s="2">
        <f t="shared" si="20"/>
        <v>1078613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7486</v>
      </c>
      <c r="D687" s="2">
        <f>(D615/D612)*V76</f>
        <v>9422.2812488343461</v>
      </c>
      <c r="E687" s="2">
        <f>(E623/E612)*SUM(C687:D687)</f>
        <v>1073.1390914208773</v>
      </c>
      <c r="F687" s="2">
        <f>(F624/F612)*V64</f>
        <v>0.52432897221435648</v>
      </c>
      <c r="G687" s="2">
        <f>(G625/G612)*V77</f>
        <v>0</v>
      </c>
      <c r="H687" s="2">
        <f>(H628/H612)*V60</f>
        <v>0</v>
      </c>
      <c r="I687" s="2">
        <f>(I629/I612)*V78</f>
        <v>3545.9303645847403</v>
      </c>
      <c r="J687" s="2">
        <f>(J630/J612)*V79</f>
        <v>0</v>
      </c>
      <c r="K687" s="2">
        <f>(K644/K612)*V75</f>
        <v>36748.983212337713</v>
      </c>
      <c r="L687" s="2">
        <f>(L647/L612)*V80</f>
        <v>0</v>
      </c>
      <c r="M687" s="2">
        <f t="shared" si="20"/>
        <v>50791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587180</v>
      </c>
      <c r="D688" s="2">
        <f>(D615/D612)*W76</f>
        <v>15368.381066059905</v>
      </c>
      <c r="E688" s="2">
        <f>(E623/E612)*SUM(C688:D688)</f>
        <v>38242.693782901784</v>
      </c>
      <c r="F688" s="2">
        <f>(F624/F612)*W64</f>
        <v>202.39098327474161</v>
      </c>
      <c r="G688" s="2">
        <f>(G625/G612)*W77</f>
        <v>0</v>
      </c>
      <c r="H688" s="2">
        <f>(H628/H612)*W60</f>
        <v>5382.5613724916993</v>
      </c>
      <c r="I688" s="2">
        <f>(I629/I612)*W78</f>
        <v>5835.0752834938767</v>
      </c>
      <c r="J688" s="2">
        <f>(J630/J612)*W79</f>
        <v>0</v>
      </c>
      <c r="K688" s="2">
        <f>(K644/K612)*W75</f>
        <v>444406.58108821587</v>
      </c>
      <c r="L688" s="2">
        <f>(L647/L612)*W80</f>
        <v>0</v>
      </c>
      <c r="M688" s="2">
        <f t="shared" si="20"/>
        <v>509438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269621</v>
      </c>
      <c r="D689" s="2">
        <f>(D615/D612)*X76</f>
        <v>15917.251818419189</v>
      </c>
      <c r="E689" s="2">
        <f>(E623/E612)*SUM(C689:D689)</f>
        <v>18122.614333934664</v>
      </c>
      <c r="F689" s="2">
        <f>(F624/F612)*X64</f>
        <v>1001.0095490787334</v>
      </c>
      <c r="G689" s="2">
        <f>(G625/G612)*X77</f>
        <v>0</v>
      </c>
      <c r="H689" s="2">
        <f>(H628/H612)*X60</f>
        <v>1595.4298678942464</v>
      </c>
      <c r="I689" s="2">
        <f>(I629/I612)*X78</f>
        <v>6014.6160614475339</v>
      </c>
      <c r="J689" s="2">
        <f>(J630/J612)*X79</f>
        <v>0</v>
      </c>
      <c r="K689" s="2">
        <f>(K644/K612)*X75</f>
        <v>634553.08593578066</v>
      </c>
      <c r="L689" s="2">
        <f>(L647/L612)*X80</f>
        <v>0</v>
      </c>
      <c r="M689" s="2">
        <f t="shared" si="20"/>
        <v>677204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2980818</v>
      </c>
      <c r="D690" s="2">
        <f>(D615/D612)*Y76</f>
        <v>138254.44395538812</v>
      </c>
      <c r="E690" s="2">
        <f>(E623/E612)*SUM(C690:D690)</f>
        <v>197962.08256311889</v>
      </c>
      <c r="F690" s="2">
        <f>(F624/F612)*Y64</f>
        <v>7824.168005625681</v>
      </c>
      <c r="G690" s="2">
        <f>(G625/G612)*Y77</f>
        <v>0</v>
      </c>
      <c r="H690" s="2">
        <f>(H628/H612)*Y60</f>
        <v>32778.831831281794</v>
      </c>
      <c r="I690" s="2">
        <f>(I629/I612)*Y78</f>
        <v>69482.281068065538</v>
      </c>
      <c r="J690" s="2">
        <f>(J630/J612)*Y79</f>
        <v>11489.965891472395</v>
      </c>
      <c r="K690" s="2">
        <f>(K644/K612)*Y75</f>
        <v>780343.50233552605</v>
      </c>
      <c r="L690" s="2">
        <f>(L647/L612)*Y80</f>
        <v>0</v>
      </c>
      <c r="M690" s="2">
        <f t="shared" si="20"/>
        <v>1238135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789006</v>
      </c>
      <c r="D692" s="2">
        <f>(D615/D612)*AA76</f>
        <v>9300.3099705322838</v>
      </c>
      <c r="E692" s="2">
        <f>(E623/E612)*SUM(C692:D692)</f>
        <v>50667.107765101231</v>
      </c>
      <c r="F692" s="2">
        <f>(F624/F612)*AA64</f>
        <v>15734.391503816043</v>
      </c>
      <c r="G692" s="2">
        <f>(G625/G612)*AA77</f>
        <v>0</v>
      </c>
      <c r="H692" s="2">
        <f>(H628/H612)*AA60</f>
        <v>3368.1297211100755</v>
      </c>
      <c r="I692" s="2">
        <f>(I629/I612)*AA78</f>
        <v>3501.0451700963258</v>
      </c>
      <c r="J692" s="2">
        <f>(J630/J612)*AA79</f>
        <v>0</v>
      </c>
      <c r="K692" s="2">
        <f>(K644/K612)*AA75</f>
        <v>149761.77436637014</v>
      </c>
      <c r="L692" s="2">
        <f>(L647/L612)*AA80</f>
        <v>0</v>
      </c>
      <c r="M692" s="2">
        <f t="shared" si="20"/>
        <v>232333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4520472</v>
      </c>
      <c r="D693" s="2">
        <f>(D615/D612)*AB76</f>
        <v>23906.370547204297</v>
      </c>
      <c r="E693" s="2">
        <f>(E623/E612)*SUM(C693:D693)</f>
        <v>288423.76134344912</v>
      </c>
      <c r="F693" s="2">
        <f>(F624/F612)*AB64</f>
        <v>218890.96061911213</v>
      </c>
      <c r="G693" s="2">
        <f>(G625/G612)*AB77</f>
        <v>0</v>
      </c>
      <c r="H693" s="2">
        <f>(H628/H612)*AB60</f>
        <v>10152.735522963385</v>
      </c>
      <c r="I693" s="2">
        <f>(I629/I612)*AB78</f>
        <v>9066.8092866597162</v>
      </c>
      <c r="J693" s="2">
        <f>(J630/J612)*AB79</f>
        <v>0</v>
      </c>
      <c r="K693" s="2">
        <f>(K644/K612)*AB75</f>
        <v>1292933.8256071911</v>
      </c>
      <c r="L693" s="2">
        <f>(L647/L612)*AB80</f>
        <v>0</v>
      </c>
      <c r="M693" s="2">
        <f t="shared" si="20"/>
        <v>1843374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1372896</v>
      </c>
      <c r="D694" s="2">
        <f>(D615/D612)*AC76</f>
        <v>37719.617814912905</v>
      </c>
      <c r="E694" s="2">
        <f>(E623/E612)*SUM(C694:D694)</f>
        <v>89529.310529439841</v>
      </c>
      <c r="F694" s="2">
        <f>(F624/F612)*AC64</f>
        <v>4017.4741262279263</v>
      </c>
      <c r="G694" s="2">
        <f>(G625/G612)*AC77</f>
        <v>0</v>
      </c>
      <c r="H694" s="2">
        <f>(H628/H612)*AC60</f>
        <v>18774.502990876736</v>
      </c>
      <c r="I694" s="2">
        <f>(I629/I612)*AC78</f>
        <v>14273.49184731579</v>
      </c>
      <c r="J694" s="2">
        <f>(J630/J612)*AC79</f>
        <v>14362.663027079298</v>
      </c>
      <c r="K694" s="2">
        <f>(K644/K612)*AC75</f>
        <v>292080.40220407554</v>
      </c>
      <c r="L694" s="2">
        <f>(L647/L612)*AC80</f>
        <v>0</v>
      </c>
      <c r="M694" s="2">
        <f t="shared" si="20"/>
        <v>470757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4415111</v>
      </c>
      <c r="D696" s="2">
        <f>(D615/D612)*AE76</f>
        <v>266385.27181170502</v>
      </c>
      <c r="E696" s="2">
        <f>(E623/E612)*SUM(C696:D696)</f>
        <v>297126.39514844737</v>
      </c>
      <c r="F696" s="2">
        <f>(F624/F612)*AE64</f>
        <v>5820.0515915793567</v>
      </c>
      <c r="G696" s="2">
        <f>(G625/G612)*AE77</f>
        <v>0</v>
      </c>
      <c r="H696" s="2">
        <f>(H628/H612)*AE60</f>
        <v>71020.80230111054</v>
      </c>
      <c r="I696" s="2">
        <f>(I629/I612)*AE78</f>
        <v>125050.15184472261</v>
      </c>
      <c r="J696" s="2">
        <f>(J630/J612)*AE79</f>
        <v>59049.062914297778</v>
      </c>
      <c r="K696" s="2">
        <f>(K644/K612)*AE75</f>
        <v>370136.46302661515</v>
      </c>
      <c r="L696" s="2">
        <f>(L647/L612)*AE80</f>
        <v>0</v>
      </c>
      <c r="M696" s="2">
        <f t="shared" si="20"/>
        <v>1194588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6277890</v>
      </c>
      <c r="D698" s="2">
        <f>(D615/D612)*AG76</f>
        <v>195550.45193778208</v>
      </c>
      <c r="E698" s="2">
        <f>(E623/E612)*SUM(C698:D698)</f>
        <v>410857.96378260397</v>
      </c>
      <c r="F698" s="2">
        <f>(F624/F612)*AG64</f>
        <v>9861.9725561367777</v>
      </c>
      <c r="G698" s="2">
        <f>(G625/G612)*AG77</f>
        <v>160507.86948856202</v>
      </c>
      <c r="H698" s="2">
        <f>(H628/H612)*AG60</f>
        <v>51988.45205885695</v>
      </c>
      <c r="I698" s="2">
        <f>(I629/I612)*AG78</f>
        <v>125050.15184472261</v>
      </c>
      <c r="J698" s="2">
        <f>(J630/J612)*AG79</f>
        <v>51706.903139013812</v>
      </c>
      <c r="K698" s="2">
        <f>(K644/K612)*AG75</f>
        <v>1014528.4829831804</v>
      </c>
      <c r="L698" s="2">
        <f>(L647/L612)*AG80</f>
        <v>214450.24908871387</v>
      </c>
      <c r="M698" s="2">
        <f t="shared" si="20"/>
        <v>2234502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92217</v>
      </c>
      <c r="D701" s="2">
        <f>(D615/D612)*AJ76</f>
        <v>30492.819575515685</v>
      </c>
      <c r="E701" s="2">
        <f>(E623/E612)*SUM(C701:D701)</f>
        <v>7788.1780146498922</v>
      </c>
      <c r="F701" s="2">
        <f>(F624/F612)*AJ64</f>
        <v>0</v>
      </c>
      <c r="G701" s="2">
        <f>(G625/G612)*AJ77</f>
        <v>0</v>
      </c>
      <c r="H701" s="2">
        <f>(H628/H612)*AJ60</f>
        <v>1063.6199119294977</v>
      </c>
      <c r="I701" s="2">
        <f>(I629/I612)*AJ78</f>
        <v>7046.9755346810662</v>
      </c>
      <c r="J701" s="2">
        <f>(J630/J612)*AJ79</f>
        <v>0</v>
      </c>
      <c r="K701" s="2">
        <f>(K644/K612)*AJ75</f>
        <v>6649.6089734589923</v>
      </c>
      <c r="L701" s="2">
        <f>(L647/L612)*AJ80</f>
        <v>0</v>
      </c>
      <c r="M701" s="2">
        <f t="shared" si="20"/>
        <v>53041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-9825</v>
      </c>
      <c r="D713" s="2">
        <f>(D615/D612)*AV76</f>
        <v>0</v>
      </c>
      <c r="E713" s="2">
        <f>(E623/E612)*SUM(C713:D713)</f>
        <v>-623.5755969541251</v>
      </c>
      <c r="F713" s="2">
        <f>(F624/F612)*AV64</f>
        <v>1174.8246033677924</v>
      </c>
      <c r="G713" s="2">
        <f>(G625/G612)*AV77</f>
        <v>0</v>
      </c>
      <c r="H713" s="2">
        <f>(H628/H612)*AV60</f>
        <v>3239.2060954216513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3790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65327083</v>
      </c>
      <c r="D715" s="2">
        <f>SUM(D616:D647)+SUM(D668:D713)</f>
        <v>3269928</v>
      </c>
      <c r="E715" s="2">
        <f>SUM(E624:E647)+SUM(E668:E713)</f>
        <v>3898749.1070909011</v>
      </c>
      <c r="F715" s="2">
        <f>SUM(F625:F648)+SUM(F668:F713)</f>
        <v>781160.24618065625</v>
      </c>
      <c r="G715" s="2">
        <f>SUM(G626:G647)+SUM(G668:G713)</f>
        <v>2176434.9858378209</v>
      </c>
      <c r="H715" s="2">
        <f>SUM(H629:H647)+SUM(H668:H713)</f>
        <v>540335.0307133958</v>
      </c>
      <c r="I715" s="2">
        <f>SUM(I630:I647)+SUM(I668:I713)</f>
        <v>910181.97383606783</v>
      </c>
      <c r="J715" s="2">
        <f>SUM(J631:J647)+SUM(J668:J713)</f>
        <v>326200.02471427713</v>
      </c>
      <c r="K715" s="2">
        <f>SUM(K668:K713)</f>
        <v>9356812.3493902832</v>
      </c>
      <c r="L715" s="2">
        <f>SUM(L668:L713)</f>
        <v>1131774.0939741936</v>
      </c>
      <c r="M715" s="2">
        <f>SUM(M668:M713)</f>
        <v>19925516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65327083</v>
      </c>
      <c r="D716" s="2">
        <f>D615</f>
        <v>3269928</v>
      </c>
      <c r="E716" s="2">
        <f>E623</f>
        <v>3898749.107090902</v>
      </c>
      <c r="F716" s="2">
        <f>F624</f>
        <v>781160.24618065637</v>
      </c>
      <c r="G716" s="2">
        <f>G625</f>
        <v>2176434.9858378209</v>
      </c>
      <c r="H716" s="2">
        <f>H628</f>
        <v>540335.03071339591</v>
      </c>
      <c r="I716" s="2">
        <f>I629</f>
        <v>910181.97383606795</v>
      </c>
      <c r="J716" s="2">
        <f>J630</f>
        <v>326200.02471427713</v>
      </c>
      <c r="K716" s="2">
        <f>K644</f>
        <v>9356812.3493902832</v>
      </c>
      <c r="L716" s="2">
        <f>L647</f>
        <v>1131774.0939741938</v>
      </c>
      <c r="M716" s="2">
        <f>C648</f>
        <v>19925520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nty*172*A</v>
      </c>
      <c r="B721" s="282">
        <f>ROUND(C166,0)</f>
        <v>9060</v>
      </c>
      <c r="C721" s="282">
        <f>ROUND(C167,0)</f>
        <v>174498</v>
      </c>
      <c r="D721" s="282">
        <f>ROUND(C168,0)</f>
        <v>3067845</v>
      </c>
      <c r="E721" s="282">
        <f>ROUND(C169,0)</f>
        <v>26926</v>
      </c>
      <c r="F721" s="282">
        <f>ROUND(C170,0)</f>
        <v>982079</v>
      </c>
      <c r="G721" s="282">
        <f>ROUND(C171,0)</f>
        <v>97375</v>
      </c>
      <c r="H721" s="282">
        <f>ROUND(C172+C173,0)</f>
        <v>709746</v>
      </c>
      <c r="I721" s="282">
        <f>ROUND(C176,0)</f>
        <v>366182</v>
      </c>
      <c r="J721" s="282">
        <f>ROUND(C177,0)</f>
        <v>0</v>
      </c>
      <c r="K721" s="282">
        <f>ROUND(C180,0)</f>
        <v>114557</v>
      </c>
      <c r="L721" s="282">
        <f>ROUND(C181,0)</f>
        <v>0</v>
      </c>
      <c r="M721" s="282">
        <f>ROUND(C184,0)</f>
        <v>742399</v>
      </c>
      <c r="N721" s="282">
        <f>ROUND(C185,0)</f>
        <v>0</v>
      </c>
      <c r="O721" s="282">
        <f>ROUND(C186,0)</f>
        <v>0</v>
      </c>
      <c r="P721" s="282">
        <f>ROUND(C189,0)</f>
        <v>126380</v>
      </c>
      <c r="Q721" s="282">
        <f>ROUND(C190,0)</f>
        <v>0</v>
      </c>
      <c r="R721" s="282">
        <f>ROUND(B196,0)</f>
        <v>3708942</v>
      </c>
      <c r="S721" s="282">
        <f>ROUND(C196,0)</f>
        <v>32341</v>
      </c>
      <c r="T721" s="282">
        <f>ROUND(D196,0)</f>
        <v>0</v>
      </c>
      <c r="U721" s="282">
        <f>ROUND(B197,0)</f>
        <v>15123143</v>
      </c>
      <c r="V721" s="282">
        <f>ROUND(C197,0)</f>
        <v>2825837</v>
      </c>
      <c r="W721" s="282">
        <f>ROUND(D197,0)</f>
        <v>18025</v>
      </c>
      <c r="X721" s="282">
        <f>ROUND(B198,0)</f>
        <v>14617899</v>
      </c>
      <c r="Y721" s="282">
        <f>ROUND(C198,0)</f>
        <v>721438</v>
      </c>
      <c r="Z721" s="282">
        <f>ROUND(D198,0)</f>
        <v>0</v>
      </c>
      <c r="AA721" s="282">
        <f>ROUND(B199,0)</f>
        <v>1041213</v>
      </c>
      <c r="AB721" s="282">
        <f>ROUND(C199,0)</f>
        <v>69829</v>
      </c>
      <c r="AC721" s="282">
        <f>ROUND(D199,0)</f>
        <v>0</v>
      </c>
      <c r="AD721" s="282">
        <f>ROUND(B200,0)</f>
        <v>15505878</v>
      </c>
      <c r="AE721" s="282">
        <f>ROUND(C200,0)</f>
        <v>1483640</v>
      </c>
      <c r="AF721" s="282">
        <f>ROUND(D200,0)</f>
        <v>1275007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2278916</v>
      </c>
      <c r="AN721" s="282">
        <f>ROUND(C203,0)</f>
        <v>3130832</v>
      </c>
      <c r="AO721" s="282">
        <f>ROUND(D203,0)</f>
        <v>4261540</v>
      </c>
      <c r="AP721" s="282">
        <f>ROUND(B204,0)</f>
        <v>54089296</v>
      </c>
      <c r="AQ721" s="282">
        <f>ROUND(C204,0)</f>
        <v>8263917</v>
      </c>
      <c r="AR721" s="282">
        <f>ROUND(D204,0)</f>
        <v>5554572</v>
      </c>
      <c r="AS721" s="282"/>
      <c r="AT721" s="282"/>
      <c r="AU721" s="282"/>
      <c r="AV721" s="282">
        <f>ROUND(B210,0)</f>
        <v>4356787</v>
      </c>
      <c r="AW721" s="282">
        <f>ROUND(C210,0)</f>
        <v>358653</v>
      </c>
      <c r="AX721" s="282">
        <f>ROUND(D210,0)</f>
        <v>18025</v>
      </c>
      <c r="AY721" s="282">
        <f>ROUND(B211,0)</f>
        <v>11121819</v>
      </c>
      <c r="AZ721" s="282">
        <f>ROUND(C211,0)</f>
        <v>763391</v>
      </c>
      <c r="BA721" s="282">
        <f>ROUND(D211,0)</f>
        <v>0</v>
      </c>
      <c r="BB721" s="282">
        <f>ROUND(B212,0)</f>
        <v>930092</v>
      </c>
      <c r="BC721" s="282">
        <f>ROUND(C212,0)</f>
        <v>35101</v>
      </c>
      <c r="BD721" s="282">
        <f>ROUND(D212,0)</f>
        <v>0</v>
      </c>
      <c r="BE721" s="282">
        <f>ROUND(B213,0)</f>
        <v>10644050</v>
      </c>
      <c r="BF721" s="282">
        <f>ROUND(C213,0)</f>
        <v>1652667</v>
      </c>
      <c r="BG721" s="282">
        <f>ROUND(D213,0)</f>
        <v>1229515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28807962</v>
      </c>
      <c r="BR721" s="282">
        <f>ROUND(C217,0)</f>
        <v>2913364</v>
      </c>
      <c r="BS721" s="282">
        <f>ROUND(D217,0)</f>
        <v>1247540</v>
      </c>
      <c r="BT721" s="282">
        <f>ROUND(C222,0)</f>
        <v>0</v>
      </c>
      <c r="BU721" s="282">
        <f>ROUND(C223,0)</f>
        <v>23912552</v>
      </c>
      <c r="BV721" s="282">
        <f>ROUND(C224,0)</f>
        <v>8545821</v>
      </c>
      <c r="BW721" s="282">
        <f>ROUND(C225,0)</f>
        <v>772975</v>
      </c>
      <c r="BX721" s="282">
        <f>ROUND(C226,0)</f>
        <v>720339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196298</v>
      </c>
      <c r="CC721" s="282">
        <f>ROUND(C237+C238,0)</f>
        <v>232409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nty*172*A</v>
      </c>
      <c r="B725" s="282">
        <f>ROUND(C112,0)</f>
        <v>24</v>
      </c>
      <c r="C725" s="282">
        <f>ROUND(C113,0)</f>
        <v>0</v>
      </c>
      <c r="D725" s="282">
        <f>ROUND(C114,0)</f>
        <v>358</v>
      </c>
      <c r="E725" s="282">
        <f>ROUND(C115,0)</f>
        <v>0</v>
      </c>
      <c r="F725" s="282">
        <f>ROUND(D112,0)</f>
        <v>181</v>
      </c>
      <c r="G725" s="282">
        <f>ROUND(D113,0)</f>
        <v>0</v>
      </c>
      <c r="H725" s="282">
        <f>ROUND(D114,0)</f>
        <v>711</v>
      </c>
      <c r="I725" s="282">
        <f>ROUND(D115,0)</f>
        <v>0</v>
      </c>
      <c r="J725" s="282">
        <f>ROUND(C117,0)</f>
        <v>0</v>
      </c>
      <c r="K725" s="282">
        <f>ROUND(C118,0)</f>
        <v>13</v>
      </c>
      <c r="L725" s="282">
        <f>ROUND(C119,0)</f>
        <v>0</v>
      </c>
      <c r="M725" s="282">
        <f>ROUND(C120,0)</f>
        <v>8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2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8</v>
      </c>
      <c r="W725" s="282">
        <f>ROUND(C130,0)</f>
        <v>0</v>
      </c>
      <c r="X725" s="282">
        <f>ROUND(B139,0)</f>
        <v>1625</v>
      </c>
      <c r="Y725" s="282">
        <f>ROUND(B140,0)</f>
        <v>20528</v>
      </c>
      <c r="Z725" s="282">
        <f>ROUND(B141,0)</f>
        <v>16415659</v>
      </c>
      <c r="AA725" s="282">
        <f>ROUND(B142,0)</f>
        <v>30944189</v>
      </c>
      <c r="AB725" s="282">
        <f>ROUND(B143,0)</f>
        <v>0</v>
      </c>
      <c r="AC725" s="282">
        <f>ROUND(C139,0)</f>
        <v>557</v>
      </c>
      <c r="AD725" s="282">
        <f>ROUND(C140,0)</f>
        <v>10253</v>
      </c>
      <c r="AE725" s="282">
        <f>ROUND(C141,0)</f>
        <v>2720590</v>
      </c>
      <c r="AF725" s="282">
        <f>ROUND(C142,0)</f>
        <v>12277935</v>
      </c>
      <c r="AG725" s="282">
        <f>ROUND(C143,0)</f>
        <v>0</v>
      </c>
      <c r="AH725" s="282">
        <f>ROUND(D139,0)</f>
        <v>1269</v>
      </c>
      <c r="AI725" s="282">
        <f>ROUND(D140,0)</f>
        <v>51361</v>
      </c>
      <c r="AJ725" s="282">
        <f>ROUND(D141,0)</f>
        <v>12799842</v>
      </c>
      <c r="AK725" s="282">
        <f>ROUND(D142,0)</f>
        <v>57189307</v>
      </c>
      <c r="AL725" s="282">
        <f>ROUND(D143,0)</f>
        <v>0</v>
      </c>
      <c r="AM725" s="282">
        <f>ROUND(B145,0)</f>
        <v>177</v>
      </c>
      <c r="AN725" s="282">
        <f>ROUND(B146,0)</f>
        <v>0</v>
      </c>
      <c r="AO725" s="282">
        <f>ROUND(B147,0)</f>
        <v>209327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4</v>
      </c>
      <c r="AX725" s="282">
        <f>ROUND(D146,0)</f>
        <v>0</v>
      </c>
      <c r="AY725" s="282">
        <f>ROUND(D147,0)</f>
        <v>12354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nty*172*A</v>
      </c>
      <c r="B729" s="282">
        <f>ROUND(C249,0)</f>
        <v>0</v>
      </c>
      <c r="C729" s="282">
        <f>ROUND(C250,0)</f>
        <v>5540563</v>
      </c>
      <c r="D729" s="282">
        <f>ROUND(C251,0)</f>
        <v>0</v>
      </c>
      <c r="E729" s="282">
        <f>ROUND(C252,0)</f>
        <v>20135366</v>
      </c>
      <c r="F729" s="282">
        <f>ROUND(C253,0)</f>
        <v>10525140</v>
      </c>
      <c r="G729" s="282">
        <f>ROUND(C254,0)</f>
        <v>-417672</v>
      </c>
      <c r="H729" s="282">
        <f>ROUND(C255,0)</f>
        <v>813788</v>
      </c>
      <c r="I729" s="282">
        <f>ROUND(C256,0)</f>
        <v>0</v>
      </c>
      <c r="J729" s="282">
        <f>ROUND(C257,0)</f>
        <v>2013309</v>
      </c>
      <c r="K729" s="282">
        <f>ROUND(C258,0)</f>
        <v>680779</v>
      </c>
      <c r="L729" s="282">
        <f>ROUND(C261,0)</f>
        <v>0</v>
      </c>
      <c r="M729" s="282">
        <f>ROUND(C262,0)</f>
        <v>7496086</v>
      </c>
      <c r="N729" s="282">
        <f>ROUND(C263,0)</f>
        <v>0</v>
      </c>
      <c r="O729" s="282">
        <f>ROUND(C266,0)</f>
        <v>0</v>
      </c>
      <c r="P729" s="282">
        <f>ROUND(C267,0)</f>
        <v>1813305</v>
      </c>
      <c r="Q729" s="282">
        <f>ROUND(C268,0)</f>
        <v>3741283</v>
      </c>
      <c r="R729" s="282">
        <f>ROUND(C269,0)</f>
        <v>17930955</v>
      </c>
      <c r="S729" s="282">
        <f>ROUND(C270,0)</f>
        <v>15339337</v>
      </c>
      <c r="T729" s="282">
        <f>ROUND(C271,0)</f>
        <v>1111042</v>
      </c>
      <c r="U729" s="282">
        <f>ROUND(C272,0)</f>
        <v>15714511</v>
      </c>
      <c r="V729" s="282">
        <f>ROUND(C273,0)</f>
        <v>0</v>
      </c>
      <c r="W729" s="282">
        <f>ROUND(C274,0)</f>
        <v>1148208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773199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3180872</v>
      </c>
      <c r="AJ729" s="282">
        <f>ROUND(C306,0)</f>
        <v>2790767</v>
      </c>
      <c r="AK729" s="282">
        <f>ROUND(C307,0)</f>
        <v>0</v>
      </c>
      <c r="AL729" s="282">
        <f>ROUND(C308,0)</f>
        <v>0</v>
      </c>
      <c r="AM729" s="282">
        <f>ROUND(C309,0)</f>
        <v>30000</v>
      </c>
      <c r="AN729" s="282">
        <f>ROUND(C310,0)</f>
        <v>0</v>
      </c>
      <c r="AO729" s="282">
        <f>ROUND(C311,0)</f>
        <v>0</v>
      </c>
      <c r="AP729" s="282">
        <f>ROUND(C312,0)</f>
        <v>273349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8064</v>
      </c>
      <c r="AX729" s="282">
        <f>ROUND(C324,0)</f>
        <v>546536</v>
      </c>
      <c r="AY729" s="282">
        <f>ROUND(C325,0)</f>
        <v>12391266</v>
      </c>
      <c r="AZ729" s="282">
        <f>ROUND(C326,0)</f>
        <v>0</v>
      </c>
      <c r="BA729" s="282">
        <f>ROUND(C327,0)</f>
        <v>990957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387.91</v>
      </c>
      <c r="BJ729" s="282">
        <f>ROUND(C358,0)</f>
        <v>0</v>
      </c>
      <c r="BK729" s="282">
        <f>ROUND(C359,0)</f>
        <v>32157772</v>
      </c>
      <c r="BL729" s="282">
        <f>ROUND(C362,0)</f>
        <v>0</v>
      </c>
      <c r="BM729" s="282">
        <f>ROUND(C363,0)</f>
        <v>1639874</v>
      </c>
      <c r="BN729" s="282">
        <f>ROUND(C364,0)</f>
        <v>59577134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32785656</v>
      </c>
      <c r="BT729" s="282">
        <f>ROUND(C379,0)</f>
        <v>7317229</v>
      </c>
      <c r="BU729" s="282">
        <f>ROUND(C380,0)</f>
        <v>4593714</v>
      </c>
      <c r="BV729" s="282">
        <f>ROUND(C381,0)</f>
        <v>11965730</v>
      </c>
      <c r="BW729" s="282">
        <f>ROUND(C382,0)</f>
        <v>738293</v>
      </c>
      <c r="BX729" s="282">
        <f>ROUND(C383,0)</f>
        <v>3614610</v>
      </c>
      <c r="BY729" s="282">
        <f>ROUND(C384,0)</f>
        <v>2913364</v>
      </c>
      <c r="BZ729" s="282">
        <f>ROUND(C385,0)</f>
        <v>500721</v>
      </c>
      <c r="CA729" s="282">
        <f>ROUND(C386,0)</f>
        <v>276359</v>
      </c>
      <c r="CB729" s="282">
        <f>ROUND(C387,0)</f>
        <v>742399</v>
      </c>
      <c r="CC729" s="282">
        <f>ROUND(C388,0)</f>
        <v>542853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nty*172*6010*A</v>
      </c>
      <c r="B733" s="282">
        <f>ROUND(C59,0)</f>
        <v>600</v>
      </c>
      <c r="C733" s="285">
        <f>ROUND(C60,2)</f>
        <v>14.97</v>
      </c>
      <c r="D733" s="282">
        <f>ROUND(C61,0)</f>
        <v>1237422</v>
      </c>
      <c r="E733" s="282">
        <f>ROUND(C62,0)</f>
        <v>276173</v>
      </c>
      <c r="F733" s="282">
        <f>ROUND(C63,0)</f>
        <v>0</v>
      </c>
      <c r="G733" s="282">
        <f>ROUND(C64,0)</f>
        <v>56676</v>
      </c>
      <c r="H733" s="282">
        <f>ROUND(C65,0)</f>
        <v>480</v>
      </c>
      <c r="I733" s="282">
        <f>ROUND(C66,0)</f>
        <v>41621</v>
      </c>
      <c r="J733" s="282">
        <f>ROUND(C67,0)</f>
        <v>43657</v>
      </c>
      <c r="K733" s="282">
        <f>ROUND(C68,0)</f>
        <v>3953</v>
      </c>
      <c r="L733" s="282">
        <f>ROUND(C70,0)</f>
        <v>0</v>
      </c>
      <c r="M733" s="282">
        <f>ROUND(C71,0)</f>
        <v>1662774</v>
      </c>
      <c r="N733" s="282">
        <f>ROUND(C76,0)</f>
        <v>1804</v>
      </c>
      <c r="O733" s="282">
        <f>ROUND(C74,0)</f>
        <v>1109434</v>
      </c>
      <c r="P733" s="282">
        <f>IF(C77&gt;0,ROUND(C77,0),0)</f>
        <v>3668</v>
      </c>
      <c r="Q733" s="282">
        <f>IF(C78&gt;0,ROUND(C78,0),0)</f>
        <v>929</v>
      </c>
      <c r="R733" s="282">
        <f>IF(C79&gt;0,ROUND(C79,0),0)</f>
        <v>20951</v>
      </c>
      <c r="S733" s="282">
        <f>IF(C80&gt;0,ROUND(C80,0),0)</f>
        <v>11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nty*172*6030*A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942549</v>
      </c>
    </row>
    <row r="735" spans="1:84" ht="12.65" customHeight="1" x14ac:dyDescent="0.35">
      <c r="A735" s="209" t="str">
        <f>RIGHT($C$84,3)&amp;"*"&amp;RIGHT($C$83,4)&amp;"*"&amp;E$55&amp;"*"&amp;"A"</f>
        <v>nty*172*6070*A</v>
      </c>
      <c r="B735" s="282">
        <f>ROUND(E59,0)</f>
        <v>2851</v>
      </c>
      <c r="C735" s="285">
        <f>ROUND(E60,2)</f>
        <v>31.86</v>
      </c>
      <c r="D735" s="282">
        <f>ROUND(E61,0)</f>
        <v>3268715</v>
      </c>
      <c r="E735" s="282">
        <f>ROUND(E62,0)</f>
        <v>729524</v>
      </c>
      <c r="F735" s="282">
        <f>ROUND(E63,0)</f>
        <v>72508</v>
      </c>
      <c r="G735" s="282">
        <f>ROUND(E64,0)</f>
        <v>96898</v>
      </c>
      <c r="H735" s="282">
        <f>ROUND(E65,0)</f>
        <v>0</v>
      </c>
      <c r="I735" s="282">
        <f>ROUND(E66,0)</f>
        <v>27835</v>
      </c>
      <c r="J735" s="282">
        <f>ROUND(E67,0)</f>
        <v>235054</v>
      </c>
      <c r="K735" s="282">
        <f>ROUND(E68,0)</f>
        <v>20944</v>
      </c>
      <c r="L735" s="282">
        <f>ROUND(E70,0)</f>
        <v>0</v>
      </c>
      <c r="M735" s="282">
        <f>ROUND(E71,0)</f>
        <v>4488628</v>
      </c>
      <c r="N735" s="282">
        <f>ROUND(E76,0)</f>
        <v>9713</v>
      </c>
      <c r="O735" s="282">
        <f>ROUND(E74,0)</f>
        <v>2506232</v>
      </c>
      <c r="P735" s="282">
        <f>IF(E77&gt;0,ROUND(E77,0),0)</f>
        <v>8728</v>
      </c>
      <c r="Q735" s="282">
        <f>IF(E78&gt;0,ROUND(E78,0),0)</f>
        <v>3759</v>
      </c>
      <c r="R735" s="282">
        <f>IF(E79&gt;0,ROUND(E79,0),0)</f>
        <v>62854</v>
      </c>
      <c r="S735" s="282">
        <f>IF(E80&gt;0,ROUND(E80,0),0)</f>
        <v>15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nty*172*6100*A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2395089</v>
      </c>
    </row>
    <row r="737" spans="1:26" ht="12.65" customHeight="1" x14ac:dyDescent="0.35">
      <c r="A737" s="209" t="str">
        <f>RIGHT($C$84,3)&amp;"*"&amp;RIGHT($C$83,4)&amp;"*"&amp;G$55&amp;"*"&amp;"A"</f>
        <v>nty*172*6120*A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nty*172*6140*A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nty*172*6150*A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nty*172*6170*A</v>
      </c>
      <c r="B740" s="282">
        <f>ROUND(J59,0)</f>
        <v>711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24443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nty*172*6200*A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54513</v>
      </c>
    </row>
    <row r="742" spans="1:26" ht="12.65" customHeight="1" x14ac:dyDescent="0.35">
      <c r="A742" s="209" t="str">
        <f>RIGHT($C$84,3)&amp;"*"&amp;RIGHT($C$83,4)&amp;"*"&amp;L$55&amp;"*"&amp;"A"</f>
        <v>nty*172*6210*A</v>
      </c>
      <c r="B742" s="282">
        <f>ROUND(L59,0)</f>
        <v>181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nty*172*6330*A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15646</v>
      </c>
    </row>
    <row r="744" spans="1:26" ht="12.65" customHeight="1" x14ac:dyDescent="0.35">
      <c r="A744" s="209" t="str">
        <f>RIGHT($C$84,3)&amp;"*"&amp;RIGHT($C$83,4)&amp;"*"&amp;N$55&amp;"*"&amp;"A"</f>
        <v>nty*172*6400*A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nty*172*7010*A</v>
      </c>
      <c r="B745" s="282">
        <f>ROUND(O59,0)</f>
        <v>358</v>
      </c>
      <c r="C745" s="285">
        <f>ROUND(O60,2)</f>
        <v>21.81</v>
      </c>
      <c r="D745" s="282">
        <f>ROUND(O61,0)</f>
        <v>1923502</v>
      </c>
      <c r="E745" s="282">
        <f>ROUND(O62,0)</f>
        <v>429295</v>
      </c>
      <c r="F745" s="282">
        <f>ROUND(O63,0)</f>
        <v>937</v>
      </c>
      <c r="G745" s="282">
        <f>ROUND(O64,0)</f>
        <v>103927</v>
      </c>
      <c r="H745" s="282">
        <f>ROUND(O65,0)</f>
        <v>440</v>
      </c>
      <c r="I745" s="282">
        <f>ROUND(O66,0)</f>
        <v>70108</v>
      </c>
      <c r="J745" s="282">
        <f>ROUND(O67,0)</f>
        <v>200400</v>
      </c>
      <c r="K745" s="282">
        <f>ROUND(O68,0)</f>
        <v>11978</v>
      </c>
      <c r="L745" s="282">
        <f>ROUND(O70,0)</f>
        <v>15422</v>
      </c>
      <c r="M745" s="282">
        <f>ROUND(O71,0)</f>
        <v>2731315</v>
      </c>
      <c r="N745" s="282">
        <f>ROUND(O76,0)</f>
        <v>8281</v>
      </c>
      <c r="O745" s="282">
        <f>ROUND(O74,0)</f>
        <v>471971</v>
      </c>
      <c r="P745" s="282">
        <f>IF(O77&gt;0,ROUND(O77,0),0)</f>
        <v>4879</v>
      </c>
      <c r="Q745" s="282">
        <f>IF(O78&gt;0,ROUND(O78,0),0)</f>
        <v>2786</v>
      </c>
      <c r="R745" s="282">
        <f>IF(O79&gt;0,ROUND(O79,0),0)</f>
        <v>48886</v>
      </c>
      <c r="S745" s="282">
        <f>IF(O80&gt;0,ROUND(O80,0),0)</f>
        <v>15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nty*172*7020*A</v>
      </c>
      <c r="B746" s="282">
        <f>ROUND(P59,0)</f>
        <v>215571</v>
      </c>
      <c r="C746" s="285">
        <f>ROUND(P60,2)</f>
        <v>48.34</v>
      </c>
      <c r="D746" s="282">
        <f>ROUND(P61,0)</f>
        <v>4016895</v>
      </c>
      <c r="E746" s="282">
        <f>ROUND(P62,0)</f>
        <v>896506</v>
      </c>
      <c r="F746" s="282">
        <f>ROUND(P63,0)</f>
        <v>0</v>
      </c>
      <c r="G746" s="282">
        <f>ROUND(P64,0)</f>
        <v>1385511</v>
      </c>
      <c r="H746" s="282">
        <f>ROUND(P65,0)</f>
        <v>1760</v>
      </c>
      <c r="I746" s="282">
        <f>ROUND(P66,0)</f>
        <v>454835</v>
      </c>
      <c r="J746" s="282">
        <f>ROUND(P67,0)</f>
        <v>389934</v>
      </c>
      <c r="K746" s="282">
        <f>ROUND(P68,0)</f>
        <v>61175</v>
      </c>
      <c r="L746" s="282">
        <f>ROUND(P70,0)</f>
        <v>7020</v>
      </c>
      <c r="M746" s="282">
        <f>ROUND(P71,0)</f>
        <v>7222692</v>
      </c>
      <c r="N746" s="282">
        <f>ROUND(P76,0)</f>
        <v>16113</v>
      </c>
      <c r="O746" s="282">
        <f>ROUND(P74,0)</f>
        <v>12153398</v>
      </c>
      <c r="P746" s="282">
        <f>IF(P77&gt;0,ROUND(P77,0),0)</f>
        <v>2618</v>
      </c>
      <c r="Q746" s="282">
        <f>IF(P78&gt;0,ROUND(P78,0),0)</f>
        <v>2214</v>
      </c>
      <c r="R746" s="282">
        <f>IF(P79&gt;0,ROUND(P79,0),0)</f>
        <v>62854</v>
      </c>
      <c r="S746" s="282">
        <f>IF(P80&gt;0,ROUND(P80,0),0)</f>
        <v>25</v>
      </c>
      <c r="T746" s="285">
        <f>IF(P81&gt;0,ROUND(P81,2),0)</f>
        <v>0</v>
      </c>
      <c r="U746" s="282"/>
      <c r="X746" s="282"/>
      <c r="Y746" s="282"/>
      <c r="Z746" s="282">
        <f t="shared" si="21"/>
        <v>1548585</v>
      </c>
    </row>
    <row r="747" spans="1:26" ht="12.65" customHeight="1" x14ac:dyDescent="0.35">
      <c r="A747" s="209" t="str">
        <f>RIGHT($C$84,3)&amp;"*"&amp;RIGHT($C$83,4)&amp;"*"&amp;Q$55&amp;"*"&amp;"A"</f>
        <v>nty*172*7030*A</v>
      </c>
      <c r="B747" s="282">
        <f>ROUND(Q59,0)</f>
        <v>105830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3182436</v>
      </c>
    </row>
    <row r="748" spans="1:26" ht="12.65" customHeight="1" x14ac:dyDescent="0.35">
      <c r="A748" s="209" t="str">
        <f>RIGHT($C$84,3)&amp;"*"&amp;RIGHT($C$83,4)&amp;"*"&amp;R$55&amp;"*"&amp;"A"</f>
        <v>nty*172*7040*A</v>
      </c>
      <c r="B748" s="282">
        <f>ROUND(R59,0)</f>
        <v>161700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352128</v>
      </c>
      <c r="G748" s="282">
        <f>ROUND(R64,0)</f>
        <v>119669</v>
      </c>
      <c r="H748" s="282">
        <f>ROUND(R65,0)</f>
        <v>0</v>
      </c>
      <c r="I748" s="282">
        <f>ROUND(R66,0)</f>
        <v>7076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478914</v>
      </c>
      <c r="N748" s="282">
        <f>ROUND(R76,0)</f>
        <v>0</v>
      </c>
      <c r="O748" s="282">
        <f>ROUND(R74,0)</f>
        <v>2749094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0</v>
      </c>
    </row>
    <row r="749" spans="1:26" ht="12.65" customHeight="1" x14ac:dyDescent="0.35">
      <c r="A749" s="209" t="str">
        <f>RIGHT($C$84,3)&amp;"*"&amp;RIGHT($C$83,4)&amp;"*"&amp;S$55&amp;"*"&amp;"A"</f>
        <v>nty*172*7050*A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3470</v>
      </c>
      <c r="G749" s="282">
        <f>ROUND(S64,0)</f>
        <v>4713433</v>
      </c>
      <c r="H749" s="282">
        <f>ROUND(S65,0)</f>
        <v>0</v>
      </c>
      <c r="I749" s="282">
        <f>ROUND(S66,0)</f>
        <v>0</v>
      </c>
      <c r="J749" s="282">
        <f>ROUND(S67,0)</f>
        <v>34824</v>
      </c>
      <c r="K749" s="282">
        <f>ROUND(S68,0)</f>
        <v>56298</v>
      </c>
      <c r="L749" s="282">
        <f>ROUND(S70,0)</f>
        <v>33342</v>
      </c>
      <c r="M749" s="282">
        <f>ROUND(S71,0)</f>
        <v>4870749</v>
      </c>
      <c r="N749" s="282">
        <f>ROUND(S76,0)</f>
        <v>1439</v>
      </c>
      <c r="O749" s="282">
        <f>ROUND(S74,0)</f>
        <v>8380868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317487</v>
      </c>
    </row>
    <row r="750" spans="1:26" ht="12.65" customHeight="1" x14ac:dyDescent="0.35">
      <c r="A750" s="209" t="str">
        <f>RIGHT($C$84,3)&amp;"*"&amp;RIGHT($C$83,4)&amp;"*"&amp;T$55&amp;"*"&amp;"A"</f>
        <v>nty*172*7060*A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1882645</v>
      </c>
    </row>
    <row r="751" spans="1:26" ht="12.65" customHeight="1" x14ac:dyDescent="0.35">
      <c r="A751" s="209" t="str">
        <f>RIGHT($C$84,3)&amp;"*"&amp;RIGHT($C$83,4)&amp;"*"&amp;U$55&amp;"*"&amp;"A"</f>
        <v>nty*172*7070*A</v>
      </c>
      <c r="B751" s="282">
        <f>ROUND(U59,0)</f>
        <v>110516</v>
      </c>
      <c r="C751" s="285">
        <f>ROUND(U60,2)</f>
        <v>15.85</v>
      </c>
      <c r="D751" s="282">
        <f>ROUND(U61,0)</f>
        <v>1012353</v>
      </c>
      <c r="E751" s="282">
        <f>ROUND(U62,0)</f>
        <v>225941</v>
      </c>
      <c r="F751" s="282">
        <f>ROUND(U63,0)</f>
        <v>613904</v>
      </c>
      <c r="G751" s="282">
        <f>ROUND(U64,0)</f>
        <v>621616</v>
      </c>
      <c r="H751" s="282">
        <f>ROUND(U65,0)</f>
        <v>960</v>
      </c>
      <c r="I751" s="282">
        <f>ROUND(U66,0)</f>
        <v>102671</v>
      </c>
      <c r="J751" s="282">
        <f>ROUND(U67,0)</f>
        <v>47432</v>
      </c>
      <c r="K751" s="282">
        <f>ROUND(U68,0)</f>
        <v>65</v>
      </c>
      <c r="L751" s="282">
        <f>ROUND(U70,0)</f>
        <v>0</v>
      </c>
      <c r="M751" s="282">
        <f>ROUND(U71,0)</f>
        <v>2643619</v>
      </c>
      <c r="N751" s="282">
        <f>ROUND(U76,0)</f>
        <v>1960</v>
      </c>
      <c r="O751" s="282">
        <f>ROUND(U74,0)</f>
        <v>8800090</v>
      </c>
      <c r="P751" s="282">
        <f>IF(U77&gt;0,ROUND(U77,0),0)</f>
        <v>0</v>
      </c>
      <c r="Q751" s="282">
        <f>IF(U78&gt;0,ROUND(U78,0),0)</f>
        <v>929</v>
      </c>
      <c r="R751" s="282">
        <f>IF(U79&gt;0,ROUND(U79,0),0)</f>
        <v>10476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nty*172*7110*A</v>
      </c>
      <c r="B752" s="282">
        <f>ROUND(V59,0)</f>
        <v>3574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8</v>
      </c>
      <c r="H752" s="282">
        <f>ROUND(V65,0)</f>
        <v>0</v>
      </c>
      <c r="I752" s="282">
        <f>ROUND(V66,0)</f>
        <v>0</v>
      </c>
      <c r="J752" s="282">
        <f>ROUND(V67,0)</f>
        <v>7478</v>
      </c>
      <c r="K752" s="282">
        <f>ROUND(V68,0)</f>
        <v>0</v>
      </c>
      <c r="L752" s="282">
        <f>ROUND(V70,0)</f>
        <v>0</v>
      </c>
      <c r="M752" s="282">
        <f>ROUND(V71,0)</f>
        <v>7486</v>
      </c>
      <c r="N752" s="282">
        <f>ROUND(V76,0)</f>
        <v>309</v>
      </c>
      <c r="O752" s="282">
        <f>ROUND(V74,0)</f>
        <v>479371</v>
      </c>
      <c r="P752" s="282">
        <f>IF(V77&gt;0,ROUND(V77,0),0)</f>
        <v>0</v>
      </c>
      <c r="Q752" s="282">
        <f>IF(V78&gt;0,ROUND(V78,0),0)</f>
        <v>79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1078613</v>
      </c>
    </row>
    <row r="753" spans="1:26" ht="12.65" customHeight="1" x14ac:dyDescent="0.35">
      <c r="A753" s="209" t="str">
        <f>RIGHT($C$84,3)&amp;"*"&amp;RIGHT($C$83,4)&amp;"*"&amp;W$55&amp;"*"&amp;"A"</f>
        <v>nty*172*7120*A</v>
      </c>
      <c r="B753" s="282">
        <f>ROUND(W59,0)</f>
        <v>2866</v>
      </c>
      <c r="C753" s="285">
        <f>ROUND(W60,2)</f>
        <v>3.34</v>
      </c>
      <c r="D753" s="282">
        <f>ROUND(W61,0)</f>
        <v>340597</v>
      </c>
      <c r="E753" s="282">
        <f>ROUND(W62,0)</f>
        <v>76016</v>
      </c>
      <c r="F753" s="282">
        <f>ROUND(W63,0)</f>
        <v>1656</v>
      </c>
      <c r="G753" s="282">
        <f>ROUND(W64,0)</f>
        <v>3088</v>
      </c>
      <c r="H753" s="282">
        <f>ROUND(W65,0)</f>
        <v>0</v>
      </c>
      <c r="I753" s="282">
        <f>ROUND(W66,0)</f>
        <v>153626</v>
      </c>
      <c r="J753" s="282">
        <f>ROUND(W67,0)</f>
        <v>12197</v>
      </c>
      <c r="K753" s="282">
        <f>ROUND(W68,0)</f>
        <v>0</v>
      </c>
      <c r="L753" s="282">
        <f>ROUND(W70,0)</f>
        <v>0</v>
      </c>
      <c r="M753" s="282">
        <f>ROUND(W71,0)</f>
        <v>587180</v>
      </c>
      <c r="N753" s="282">
        <f>ROUND(W76,0)</f>
        <v>504</v>
      </c>
      <c r="O753" s="282">
        <f>ROUND(W74,0)</f>
        <v>6201795</v>
      </c>
      <c r="P753" s="282">
        <f>IF(W77&gt;0,ROUND(W77,0),0)</f>
        <v>0</v>
      </c>
      <c r="Q753" s="282">
        <f>IF(W78&gt;0,ROUND(W78,0),0)</f>
        <v>130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50791</v>
      </c>
    </row>
    <row r="754" spans="1:26" ht="12.65" customHeight="1" x14ac:dyDescent="0.35">
      <c r="A754" s="209" t="str">
        <f>RIGHT($C$84,3)&amp;"*"&amp;RIGHT($C$83,4)&amp;"*"&amp;X$55&amp;"*"&amp;"A"</f>
        <v>nty*172*7130*A</v>
      </c>
      <c r="B754" s="282">
        <f>ROUND(X59,0)</f>
        <v>4910</v>
      </c>
      <c r="C754" s="285">
        <f>ROUND(X60,2)</f>
        <v>0.99</v>
      </c>
      <c r="D754" s="282">
        <f>ROUND(X61,0)</f>
        <v>69090</v>
      </c>
      <c r="E754" s="282">
        <f>ROUND(X62,0)</f>
        <v>15420</v>
      </c>
      <c r="F754" s="282">
        <f>ROUND(X63,0)</f>
        <v>0</v>
      </c>
      <c r="G754" s="282">
        <f>ROUND(X64,0)</f>
        <v>15273</v>
      </c>
      <c r="H754" s="282">
        <f>ROUND(X65,0)</f>
        <v>0</v>
      </c>
      <c r="I754" s="282">
        <f>ROUND(X66,0)</f>
        <v>157153</v>
      </c>
      <c r="J754" s="282">
        <f>ROUND(X67,0)</f>
        <v>12632</v>
      </c>
      <c r="K754" s="282">
        <f>ROUND(X68,0)</f>
        <v>0</v>
      </c>
      <c r="L754" s="282">
        <f>ROUND(X70,0)</f>
        <v>0</v>
      </c>
      <c r="M754" s="282">
        <f>ROUND(X71,0)</f>
        <v>269621</v>
      </c>
      <c r="N754" s="282">
        <f>ROUND(X76,0)</f>
        <v>522</v>
      </c>
      <c r="O754" s="282">
        <f>ROUND(X74,0)</f>
        <v>8723173</v>
      </c>
      <c r="P754" s="282">
        <f>IF(X77&gt;0,ROUND(X77,0),0)</f>
        <v>0</v>
      </c>
      <c r="Q754" s="282">
        <f>IF(X78&gt;0,ROUND(X78,0),0)</f>
        <v>134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509438</v>
      </c>
    </row>
    <row r="755" spans="1:26" ht="12.65" customHeight="1" x14ac:dyDescent="0.35">
      <c r="A755" s="209" t="str">
        <f>RIGHT($C$84,3)&amp;"*"&amp;RIGHT($C$83,4)&amp;"*"&amp;Y$55&amp;"*"&amp;"A"</f>
        <v>nty*172*7140*A</v>
      </c>
      <c r="B755" s="282">
        <f>ROUND(Y59,0)</f>
        <v>25356</v>
      </c>
      <c r="C755" s="285">
        <f>ROUND(Y60,2)</f>
        <v>20.34</v>
      </c>
      <c r="D755" s="282">
        <f>ROUND(Y61,0)</f>
        <v>1623565</v>
      </c>
      <c r="E755" s="282">
        <f>ROUND(Y62,0)</f>
        <v>362353</v>
      </c>
      <c r="F755" s="282">
        <f>ROUND(Y63,0)</f>
        <v>421139</v>
      </c>
      <c r="G755" s="282">
        <f>ROUND(Y64,0)</f>
        <v>119378</v>
      </c>
      <c r="H755" s="282">
        <f>ROUND(Y65,0)</f>
        <v>990</v>
      </c>
      <c r="I755" s="282">
        <f>ROUND(Y66,0)</f>
        <v>284336</v>
      </c>
      <c r="J755" s="282">
        <f>ROUND(Y67,0)</f>
        <v>109723</v>
      </c>
      <c r="K755" s="282">
        <f>ROUND(Y68,0)</f>
        <v>33134</v>
      </c>
      <c r="L755" s="282">
        <f>ROUND(Y70,0)</f>
        <v>60</v>
      </c>
      <c r="M755" s="282">
        <f>ROUND(Y71,0)</f>
        <v>2980818</v>
      </c>
      <c r="N755" s="282">
        <f>ROUND(Y76,0)</f>
        <v>4534</v>
      </c>
      <c r="O755" s="282">
        <f>ROUND(Y74,0)</f>
        <v>10367992</v>
      </c>
      <c r="P755" s="282">
        <f>IF(Y77&gt;0,ROUND(Y77,0),0)</f>
        <v>0</v>
      </c>
      <c r="Q755" s="282">
        <f>IF(Y78&gt;0,ROUND(Y78,0),0)</f>
        <v>1548</v>
      </c>
      <c r="R755" s="282">
        <f>IF(Y79&gt;0,ROUND(Y79,0),0)</f>
        <v>13967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677204</v>
      </c>
    </row>
    <row r="756" spans="1:26" ht="12.65" customHeight="1" x14ac:dyDescent="0.35">
      <c r="A756" s="209" t="str">
        <f>RIGHT($C$84,3)&amp;"*"&amp;RIGHT($C$83,4)&amp;"*"&amp;Z$55&amp;"*"&amp;"A"</f>
        <v>nty*172*7150*A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1238135</v>
      </c>
    </row>
    <row r="757" spans="1:26" ht="12.65" customHeight="1" x14ac:dyDescent="0.35">
      <c r="A757" s="209" t="str">
        <f>RIGHT($C$84,3)&amp;"*"&amp;RIGHT($C$83,4)&amp;"*"&amp;AA$55&amp;"*"&amp;"A"</f>
        <v>nty*172*7160*A</v>
      </c>
      <c r="B757" s="282">
        <f>ROUND(AA59,0)</f>
        <v>803</v>
      </c>
      <c r="C757" s="285">
        <f>ROUND(AA60,2)</f>
        <v>2.09</v>
      </c>
      <c r="D757" s="282">
        <f>ROUND(AA61,0)</f>
        <v>222157</v>
      </c>
      <c r="E757" s="282">
        <f>ROUND(AA62,0)</f>
        <v>49582</v>
      </c>
      <c r="F757" s="282">
        <f>ROUND(AA63,0)</f>
        <v>135715</v>
      </c>
      <c r="G757" s="282">
        <f>ROUND(AA64,0)</f>
        <v>240069</v>
      </c>
      <c r="H757" s="282">
        <f>ROUND(AA65,0)</f>
        <v>0</v>
      </c>
      <c r="I757" s="282">
        <f>ROUND(AA66,0)</f>
        <v>124976</v>
      </c>
      <c r="J757" s="282">
        <f>ROUND(AA67,0)</f>
        <v>7381</v>
      </c>
      <c r="K757" s="282">
        <f>ROUND(AA68,0)</f>
        <v>0</v>
      </c>
      <c r="L757" s="282">
        <f>ROUND(AA70,0)</f>
        <v>0</v>
      </c>
      <c r="M757" s="282">
        <f>ROUND(AA71,0)</f>
        <v>789006</v>
      </c>
      <c r="N757" s="282">
        <f>ROUND(AA76,0)</f>
        <v>305</v>
      </c>
      <c r="O757" s="282">
        <f>ROUND(AA74,0)</f>
        <v>2059918</v>
      </c>
      <c r="P757" s="282">
        <f>IF(AA77&gt;0,ROUND(AA77,0),0)</f>
        <v>0</v>
      </c>
      <c r="Q757" s="282">
        <f>IF(AA78&gt;0,ROUND(AA78,0),0)</f>
        <v>78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nty*172*7170*A</v>
      </c>
      <c r="B758" s="282"/>
      <c r="C758" s="285">
        <f>ROUND(AB60,2)</f>
        <v>6.3</v>
      </c>
      <c r="D758" s="282">
        <f>ROUND(AB61,0)</f>
        <v>724249</v>
      </c>
      <c r="E758" s="282">
        <f>ROUND(AB62,0)</f>
        <v>161641</v>
      </c>
      <c r="F758" s="282">
        <f>ROUND(AB63,0)</f>
        <v>131389</v>
      </c>
      <c r="G758" s="282">
        <f>ROUND(AB64,0)</f>
        <v>3339750</v>
      </c>
      <c r="H758" s="282">
        <f>ROUND(AB65,0)</f>
        <v>26270</v>
      </c>
      <c r="I758" s="282">
        <f>ROUND(AB66,0)</f>
        <v>26163</v>
      </c>
      <c r="J758" s="282">
        <f>ROUND(AB67,0)</f>
        <v>18973</v>
      </c>
      <c r="K758" s="282">
        <f>ROUND(AB68,0)</f>
        <v>129606</v>
      </c>
      <c r="L758" s="282">
        <f>ROUND(AB70,0)</f>
        <v>63209</v>
      </c>
      <c r="M758" s="282">
        <f>ROUND(AB71,0)</f>
        <v>4520472</v>
      </c>
      <c r="N758" s="282">
        <f>ROUND(AB76,0)</f>
        <v>784</v>
      </c>
      <c r="O758" s="282">
        <f>ROUND(AB74,0)</f>
        <v>14477231</v>
      </c>
      <c r="P758" s="282">
        <f>IF(AB77&gt;0,ROUND(AB77,0),0)</f>
        <v>0</v>
      </c>
      <c r="Q758" s="282">
        <f>IF(AB78&gt;0,ROUND(AB78,0),0)</f>
        <v>202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232333</v>
      </c>
    </row>
    <row r="759" spans="1:26" ht="12.65" customHeight="1" x14ac:dyDescent="0.35">
      <c r="A759" s="209" t="str">
        <f>RIGHT($C$84,3)&amp;"*"&amp;RIGHT($C$83,4)&amp;"*"&amp;AC$55&amp;"*"&amp;"A"</f>
        <v>nty*172*7180*A</v>
      </c>
      <c r="B759" s="282">
        <f>ROUND(AC59,0)</f>
        <v>13692</v>
      </c>
      <c r="C759" s="285">
        <f>ROUND(AC60,2)</f>
        <v>11.65</v>
      </c>
      <c r="D759" s="282">
        <f>ROUND(AC61,0)</f>
        <v>920656</v>
      </c>
      <c r="E759" s="282">
        <f>ROUND(AC62,0)</f>
        <v>205476</v>
      </c>
      <c r="F759" s="282">
        <f>ROUND(AC63,0)</f>
        <v>138520</v>
      </c>
      <c r="G759" s="282">
        <f>ROUND(AC64,0)</f>
        <v>61297</v>
      </c>
      <c r="H759" s="282">
        <f>ROUND(AC65,0)</f>
        <v>480</v>
      </c>
      <c r="I759" s="282">
        <f>ROUND(AC66,0)</f>
        <v>13584</v>
      </c>
      <c r="J759" s="282">
        <f>ROUND(AC67,0)</f>
        <v>29935</v>
      </c>
      <c r="K759" s="282">
        <f>ROUND(AC68,0)</f>
        <v>194</v>
      </c>
      <c r="L759" s="282">
        <f>ROUND(AC70,0)</f>
        <v>0</v>
      </c>
      <c r="M759" s="282">
        <f>ROUND(AC71,0)</f>
        <v>1372896</v>
      </c>
      <c r="N759" s="282">
        <f>ROUND(AC76,0)</f>
        <v>1237</v>
      </c>
      <c r="O759" s="282">
        <f>ROUND(AC74,0)</f>
        <v>3010878</v>
      </c>
      <c r="P759" s="282">
        <f>IF(AC77&gt;0,ROUND(AC77,0),0)</f>
        <v>0</v>
      </c>
      <c r="Q759" s="282">
        <f>IF(AC78&gt;0,ROUND(AC78,0),0)</f>
        <v>318</v>
      </c>
      <c r="R759" s="282">
        <f>IF(AC79&gt;0,ROUND(AC79,0),0)</f>
        <v>17459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1843374</v>
      </c>
    </row>
    <row r="760" spans="1:26" ht="12.65" customHeight="1" x14ac:dyDescent="0.35">
      <c r="A760" s="209" t="str">
        <f>RIGHT($C$84,3)&amp;"*"&amp;RIGHT($C$83,4)&amp;"*"&amp;AD$55&amp;"*"&amp;"A"</f>
        <v>nty*172*7190*A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470757</v>
      </c>
    </row>
    <row r="761" spans="1:26" ht="12.65" customHeight="1" x14ac:dyDescent="0.35">
      <c r="A761" s="209" t="str">
        <f>RIGHT($C$84,3)&amp;"*"&amp;RIGHT($C$83,4)&amp;"*"&amp;AE$55&amp;"*"&amp;"A"</f>
        <v>nty*172*7200*A</v>
      </c>
      <c r="B761" s="282">
        <f>ROUND(AE59,0)</f>
        <v>38141</v>
      </c>
      <c r="C761" s="285">
        <f>ROUND(AE60,2)</f>
        <v>44.07</v>
      </c>
      <c r="D761" s="282">
        <f>ROUND(AE61,0)</f>
        <v>3270024</v>
      </c>
      <c r="E761" s="282">
        <f>ROUND(AE62,0)</f>
        <v>729817</v>
      </c>
      <c r="F761" s="282">
        <f>ROUND(AE63,0)</f>
        <v>20349</v>
      </c>
      <c r="G761" s="282">
        <f>ROUND(AE64,0)</f>
        <v>88800</v>
      </c>
      <c r="H761" s="282">
        <f>ROUND(AE65,0)</f>
        <v>28784</v>
      </c>
      <c r="I761" s="282">
        <f>ROUND(AE66,0)</f>
        <v>61093</v>
      </c>
      <c r="J761" s="282">
        <f>ROUND(AE67,0)</f>
        <v>211411</v>
      </c>
      <c r="K761" s="282">
        <f>ROUND(AE68,0)</f>
        <v>30484</v>
      </c>
      <c r="L761" s="282">
        <f>ROUND(AE70,0)</f>
        <v>77006</v>
      </c>
      <c r="M761" s="282">
        <f>ROUND(AE71,0)</f>
        <v>4415111</v>
      </c>
      <c r="N761" s="282">
        <f>ROUND(AE76,0)</f>
        <v>8736</v>
      </c>
      <c r="O761" s="282">
        <f>ROUND(AE74,0)</f>
        <v>4665822</v>
      </c>
      <c r="P761" s="282">
        <f>IF(AE77&gt;0,ROUND(AE77,0),0)</f>
        <v>0</v>
      </c>
      <c r="Q761" s="282">
        <f>IF(AE78&gt;0,ROUND(AE78,0),0)</f>
        <v>2786</v>
      </c>
      <c r="R761" s="282">
        <f>IF(AE79&gt;0,ROUND(AE79,0),0)</f>
        <v>71779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nty*172*7220*A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1194588</v>
      </c>
    </row>
    <row r="763" spans="1:26" ht="12.65" customHeight="1" x14ac:dyDescent="0.35">
      <c r="A763" s="209" t="str">
        <f>RIGHT($C$84,3)&amp;"*"&amp;RIGHT($C$83,4)&amp;"*"&amp;AG$55&amp;"*"&amp;"A"</f>
        <v>nty*172*7230*A</v>
      </c>
      <c r="B763" s="282">
        <f>ROUND(AG59,0)</f>
        <v>12662</v>
      </c>
      <c r="C763" s="285">
        <f>ROUND(AG60,2)</f>
        <v>32.26</v>
      </c>
      <c r="D763" s="282">
        <f>ROUND(AG61,0)</f>
        <v>4712771</v>
      </c>
      <c r="E763" s="282">
        <f>ROUND(AG62,0)</f>
        <v>1051814</v>
      </c>
      <c r="F763" s="282">
        <f>ROUND(AG63,0)</f>
        <v>51989</v>
      </c>
      <c r="G763" s="282">
        <f>ROUND(AG64,0)</f>
        <v>150470</v>
      </c>
      <c r="H763" s="282">
        <f>ROUND(AG65,0)</f>
        <v>960</v>
      </c>
      <c r="I763" s="282">
        <f>ROUND(AG66,0)</f>
        <v>22829</v>
      </c>
      <c r="J763" s="282">
        <f>ROUND(AG67,0)</f>
        <v>155195</v>
      </c>
      <c r="K763" s="282">
        <f>ROUND(AG68,0)</f>
        <v>13176</v>
      </c>
      <c r="L763" s="282">
        <f>ROUND(AG70,0)</f>
        <v>0</v>
      </c>
      <c r="M763" s="282">
        <f>ROUND(AG71,0)</f>
        <v>6277890</v>
      </c>
      <c r="N763" s="282">
        <f>ROUND(AG76,0)</f>
        <v>6413</v>
      </c>
      <c r="O763" s="282">
        <f>ROUND(AG74,0)</f>
        <v>14159951</v>
      </c>
      <c r="P763" s="282">
        <f>IF(AG77&gt;0,ROUND(AG77,0),0)</f>
        <v>1584</v>
      </c>
      <c r="Q763" s="282">
        <f>IF(AG78&gt;0,ROUND(AG78,0),0)</f>
        <v>2786</v>
      </c>
      <c r="R763" s="282">
        <f>IF(AG79&gt;0,ROUND(AG79,0),0)</f>
        <v>62854</v>
      </c>
      <c r="S763" s="282">
        <f>IF(AG80&gt;0,ROUND(AG80,0),0)</f>
        <v>15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nty*172*7240*A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2234502</v>
      </c>
    </row>
    <row r="765" spans="1:26" ht="12.65" customHeight="1" x14ac:dyDescent="0.35">
      <c r="A765" s="209" t="str">
        <f>RIGHT($C$84,3)&amp;"*"&amp;RIGHT($C$83,4)&amp;"*"&amp;AI$55&amp;"*"&amp;"A"</f>
        <v>nty*172*7250*A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nty*172*7260*A</v>
      </c>
      <c r="B766" s="282">
        <f>ROUND(AJ59,0)</f>
        <v>340</v>
      </c>
      <c r="C766" s="285">
        <f>ROUND(AJ60,2)</f>
        <v>0.66</v>
      </c>
      <c r="D766" s="282">
        <f>ROUND(AJ61,0)</f>
        <v>55245</v>
      </c>
      <c r="E766" s="282">
        <f>ROUND(AJ62,0)</f>
        <v>12330</v>
      </c>
      <c r="F766" s="282">
        <f>ROUND(AJ63,0)</f>
        <v>0</v>
      </c>
      <c r="G766" s="282">
        <f>ROUND(AJ64,0)</f>
        <v>0</v>
      </c>
      <c r="H766" s="282">
        <f>ROUND(AJ65,0)</f>
        <v>0</v>
      </c>
      <c r="I766" s="282">
        <f>ROUND(AJ66,0)</f>
        <v>0</v>
      </c>
      <c r="J766" s="282">
        <f>ROUND(AJ67,0)</f>
        <v>24200</v>
      </c>
      <c r="K766" s="282">
        <f>ROUND(AJ68,0)</f>
        <v>0</v>
      </c>
      <c r="L766" s="282">
        <f>ROUND(AJ70,0)</f>
        <v>0</v>
      </c>
      <c r="M766" s="282">
        <f>ROUND(AJ71,0)</f>
        <v>92217</v>
      </c>
      <c r="N766" s="282">
        <f>ROUND(AJ76,0)</f>
        <v>1000</v>
      </c>
      <c r="O766" s="282">
        <f>ROUND(AJ74,0)</f>
        <v>94213</v>
      </c>
      <c r="P766" s="282">
        <f>IF(AJ77&gt;0,ROUND(AJ77,0),0)</f>
        <v>0</v>
      </c>
      <c r="Q766" s="282">
        <f>IF(AJ78&gt;0,ROUND(AJ78,0),0)</f>
        <v>157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nty*172*7310*A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53041</v>
      </c>
    </row>
    <row r="768" spans="1:26" ht="12.65" customHeight="1" x14ac:dyDescent="0.35">
      <c r="A768" s="209" t="str">
        <f>RIGHT($C$84,3)&amp;"*"&amp;RIGHT($C$83,4)&amp;"*"&amp;AL$55&amp;"*"&amp;"A"</f>
        <v>nty*172*7320*A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nty*172*7330*A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nty*172*7340*A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nty*172*7350*A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nty*172*7380*A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nty*172*7390*A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nty*172*7400*A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nty*172*7410*A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nty*172*7420*A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nty*172*7430*A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nty*172*7490*A</v>
      </c>
      <c r="B778" s="282"/>
      <c r="C778" s="285">
        <f>ROUND(AV60,2)</f>
        <v>2.0099999999999998</v>
      </c>
      <c r="D778" s="282">
        <f>ROUND(AV61,0)</f>
        <v>221234</v>
      </c>
      <c r="E778" s="282">
        <f>ROUND(AV62,0)</f>
        <v>49376</v>
      </c>
      <c r="F778" s="282">
        <f>ROUND(AV63,0)</f>
        <v>60012</v>
      </c>
      <c r="G778" s="282">
        <f>ROUND(AV64,0)</f>
        <v>17925</v>
      </c>
      <c r="H778" s="282">
        <f>ROUND(AV65,0)</f>
        <v>0</v>
      </c>
      <c r="I778" s="282">
        <f>ROUND(AV66,0)</f>
        <v>1854</v>
      </c>
      <c r="J778" s="282">
        <f>ROUND(AV67,0)</f>
        <v>0</v>
      </c>
      <c r="K778" s="282">
        <f>ROUND(AV68,0)</f>
        <v>0</v>
      </c>
      <c r="L778" s="282">
        <f>ROUND(AV70,0)</f>
        <v>443577</v>
      </c>
      <c r="M778" s="282">
        <f>ROUND(AV71,0)</f>
        <v>-9825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nty*172*8200*A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nty*172*8310*A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nty*172*8320*A</v>
      </c>
      <c r="B781" s="282">
        <f>ROUND(AY59,0)</f>
        <v>21476</v>
      </c>
      <c r="C781" s="285">
        <f>ROUND(AY60,2)</f>
        <v>3.24</v>
      </c>
      <c r="D781" s="282">
        <f>ROUND(AY61,0)</f>
        <v>877139</v>
      </c>
      <c r="E781" s="282">
        <f>ROUND(AY62,0)</f>
        <v>195763</v>
      </c>
      <c r="F781" s="282">
        <f>ROUND(AY63,0)</f>
        <v>750</v>
      </c>
      <c r="G781" s="282">
        <f>ROUND(AY64,0)</f>
        <v>640887</v>
      </c>
      <c r="H781" s="282">
        <f>ROUND(AY65,0)</f>
        <v>0</v>
      </c>
      <c r="I781" s="282">
        <f>ROUND(AY66,0)</f>
        <v>22592</v>
      </c>
      <c r="J781" s="282">
        <f>ROUND(AY67,0)</f>
        <v>115337</v>
      </c>
      <c r="K781" s="282">
        <f>ROUND(AY68,0)</f>
        <v>3182</v>
      </c>
      <c r="L781" s="282">
        <f>ROUND(AY70,0)</f>
        <v>1585</v>
      </c>
      <c r="M781" s="282">
        <f>ROUND(AY71,0)</f>
        <v>1861718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nty*172*8330*A</v>
      </c>
      <c r="B782" s="282">
        <f>ROUND(AZ59,0)</f>
        <v>89538</v>
      </c>
      <c r="C782" s="285">
        <f>ROUND(AZ60,2)</f>
        <v>18.059999999999999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604044</v>
      </c>
      <c r="M782" s="282">
        <f>ROUND(AZ71,0)</f>
        <v>-604044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nty*172*8350*A</v>
      </c>
      <c r="B783" s="282">
        <f>ROUND(BA59,0)</f>
        <v>0</v>
      </c>
      <c r="C783" s="285">
        <f>ROUND(BA60,2)</f>
        <v>0.1</v>
      </c>
      <c r="D783" s="282">
        <f>ROUND(BA61,0)</f>
        <v>1789</v>
      </c>
      <c r="E783" s="282">
        <f>ROUND(BA62,0)</f>
        <v>399</v>
      </c>
      <c r="F783" s="282">
        <f>ROUND(BA63,0)</f>
        <v>0</v>
      </c>
      <c r="G783" s="282">
        <f>ROUND(BA64,0)</f>
        <v>183</v>
      </c>
      <c r="H783" s="282">
        <f>ROUND(BA65,0)</f>
        <v>0</v>
      </c>
      <c r="I783" s="282">
        <f>ROUND(BA66,0)</f>
        <v>219371</v>
      </c>
      <c r="J783" s="282">
        <f>ROUND(BA67,0)</f>
        <v>31315</v>
      </c>
      <c r="K783" s="282">
        <f>ROUND(BA68,0)</f>
        <v>0</v>
      </c>
      <c r="L783" s="282">
        <f>ROUND(BA70,0)</f>
        <v>0</v>
      </c>
      <c r="M783" s="282">
        <f>ROUND(BA71,0)</f>
        <v>253057</v>
      </c>
      <c r="N783" s="282"/>
      <c r="O783" s="282"/>
      <c r="P783" s="282">
        <f>IF(BA77&gt;0,ROUND(BA77,0),0)</f>
        <v>0</v>
      </c>
      <c r="Q783" s="282">
        <f>IF(BA78&gt;0,ROUND(BA78,0),0)</f>
        <v>333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nty*172*8360*A</v>
      </c>
      <c r="B784" s="282"/>
      <c r="C784" s="285">
        <f>ROUND(BB60,2)</f>
        <v>6.48</v>
      </c>
      <c r="D784" s="282">
        <f>ROUND(BB61,0)</f>
        <v>473192</v>
      </c>
      <c r="E784" s="282">
        <f>ROUND(BB62,0)</f>
        <v>105609</v>
      </c>
      <c r="F784" s="282">
        <f>ROUND(BB63,0)</f>
        <v>11807</v>
      </c>
      <c r="G784" s="282">
        <f>ROUND(BB64,0)</f>
        <v>4677</v>
      </c>
      <c r="H784" s="282">
        <f>ROUND(BB65,0)</f>
        <v>3200</v>
      </c>
      <c r="I784" s="282">
        <f>ROUND(BB66,0)</f>
        <v>15896</v>
      </c>
      <c r="J784" s="282">
        <f>ROUND(BB67,0)</f>
        <v>3630</v>
      </c>
      <c r="K784" s="282">
        <f>ROUND(BB68,0)</f>
        <v>1999</v>
      </c>
      <c r="L784" s="282">
        <f>ROUND(BB70,0)</f>
        <v>21875</v>
      </c>
      <c r="M784" s="282">
        <f>ROUND(BB71,0)</f>
        <v>619019</v>
      </c>
      <c r="N784" s="282"/>
      <c r="O784" s="282"/>
      <c r="P784" s="282">
        <f>IF(BB77&gt;0,ROUND(BB77,0),0)</f>
        <v>0</v>
      </c>
      <c r="Q784" s="282">
        <f>IF(BB78&gt;0,ROUND(BB78,0),0)</f>
        <v>40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nty*172*8370*A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nty*172*8420*A</v>
      </c>
      <c r="B786" s="282"/>
      <c r="C786" s="285">
        <f>ROUND(BD60,2)</f>
        <v>7.02</v>
      </c>
      <c r="D786" s="282">
        <f>ROUND(BD61,0)</f>
        <v>454926</v>
      </c>
      <c r="E786" s="282">
        <f>ROUND(BD62,0)</f>
        <v>101532</v>
      </c>
      <c r="F786" s="282">
        <f>ROUND(BD63,0)</f>
        <v>0</v>
      </c>
      <c r="G786" s="282">
        <f>ROUND(BD64,0)</f>
        <v>9002</v>
      </c>
      <c r="H786" s="282">
        <f>ROUND(BD65,0)</f>
        <v>907</v>
      </c>
      <c r="I786" s="282">
        <f>ROUND(BD66,0)</f>
        <v>3229</v>
      </c>
      <c r="J786" s="282">
        <f>ROUND(BD67,0)</f>
        <v>68220</v>
      </c>
      <c r="K786" s="282">
        <f>ROUND(BD68,0)</f>
        <v>8317</v>
      </c>
      <c r="L786" s="282">
        <f>ROUND(BD70,0)</f>
        <v>0</v>
      </c>
      <c r="M786" s="282">
        <f>ROUND(BD71,0)</f>
        <v>648581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nty*172*8430*A</v>
      </c>
      <c r="B787" s="282">
        <f>ROUND(BE59,0)</f>
        <v>120387</v>
      </c>
      <c r="C787" s="285">
        <f>ROUND(BE60,2)</f>
        <v>7.81</v>
      </c>
      <c r="D787" s="282">
        <f>ROUND(BE61,0)</f>
        <v>531250</v>
      </c>
      <c r="E787" s="282">
        <f>ROUND(BE62,0)</f>
        <v>118566</v>
      </c>
      <c r="F787" s="282">
        <f>ROUND(BE63,0)</f>
        <v>62235</v>
      </c>
      <c r="G787" s="282">
        <f>ROUND(BE64,0)</f>
        <v>19697</v>
      </c>
      <c r="H787" s="282">
        <f>ROUND(BE65,0)</f>
        <v>490824</v>
      </c>
      <c r="I787" s="282">
        <f>ROUND(BE66,0)</f>
        <v>184923</v>
      </c>
      <c r="J787" s="282">
        <f>ROUND(BE67,0)</f>
        <v>318254</v>
      </c>
      <c r="K787" s="282">
        <f>ROUND(BE68,0)</f>
        <v>10730</v>
      </c>
      <c r="L787" s="282">
        <f>ROUND(BE70,0)</f>
        <v>0</v>
      </c>
      <c r="M787" s="282">
        <f>ROUND(BE71,0)</f>
        <v>1737260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nty*172*8460*A</v>
      </c>
      <c r="B788" s="282"/>
      <c r="C788" s="285">
        <f>ROUND(BF60,2)</f>
        <v>14.88</v>
      </c>
      <c r="D788" s="282">
        <f>ROUND(BF61,0)</f>
        <v>576665</v>
      </c>
      <c r="E788" s="282">
        <f>ROUND(BF62,0)</f>
        <v>128702</v>
      </c>
      <c r="F788" s="282">
        <f>ROUND(BF63,0)</f>
        <v>3390</v>
      </c>
      <c r="G788" s="282">
        <f>ROUND(BF64,0)</f>
        <v>51200</v>
      </c>
      <c r="H788" s="282">
        <f>ROUND(BF65,0)</f>
        <v>44223</v>
      </c>
      <c r="I788" s="282">
        <f>ROUND(BF66,0)</f>
        <v>3129</v>
      </c>
      <c r="J788" s="282">
        <f>ROUND(BF67,0)</f>
        <v>9075</v>
      </c>
      <c r="K788" s="282">
        <f>ROUND(BF68,0)</f>
        <v>335</v>
      </c>
      <c r="L788" s="282">
        <f>ROUND(BF70,0)</f>
        <v>0</v>
      </c>
      <c r="M788" s="282">
        <f>ROUND(BF71,0)</f>
        <v>818723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nty*172*8470*A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nty*172*8480*A</v>
      </c>
      <c r="B790" s="282"/>
      <c r="C790" s="285">
        <f>ROUND(BH60,2)</f>
        <v>6.2</v>
      </c>
      <c r="D790" s="282">
        <f>ROUND(BH61,0)</f>
        <v>621067</v>
      </c>
      <c r="E790" s="282">
        <f>ROUND(BH62,0)</f>
        <v>138612</v>
      </c>
      <c r="F790" s="282">
        <f>ROUND(BH63,0)</f>
        <v>0</v>
      </c>
      <c r="G790" s="282">
        <f>ROUND(BH64,0)</f>
        <v>7194</v>
      </c>
      <c r="H790" s="282">
        <f>ROUND(BH65,0)</f>
        <v>123861</v>
      </c>
      <c r="I790" s="282">
        <f>ROUND(BH66,0)</f>
        <v>967195</v>
      </c>
      <c r="J790" s="282">
        <f>ROUND(BH67,0)</f>
        <v>45181</v>
      </c>
      <c r="K790" s="282">
        <f>ROUND(BH68,0)</f>
        <v>0</v>
      </c>
      <c r="L790" s="282">
        <f>ROUND(BH70,0)</f>
        <v>22980</v>
      </c>
      <c r="M790" s="282">
        <f>ROUND(BH71,0)</f>
        <v>1896207</v>
      </c>
      <c r="N790" s="282"/>
      <c r="O790" s="282"/>
      <c r="P790" s="282">
        <f>IF(BH77&gt;0,ROUND(BH77,0),0)</f>
        <v>0</v>
      </c>
      <c r="Q790" s="282">
        <f>IF(BH78&gt;0,ROUND(BH78,0),0)</f>
        <v>310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nty*172*8490*A</v>
      </c>
      <c r="B791" s="282"/>
      <c r="C791" s="285">
        <f>ROUND(BI60,2)</f>
        <v>5.0599999999999996</v>
      </c>
      <c r="D791" s="282">
        <f>ROUND(BI61,0)</f>
        <v>495205</v>
      </c>
      <c r="E791" s="282">
        <f>ROUND(BI62,0)</f>
        <v>110522</v>
      </c>
      <c r="F791" s="282">
        <f>ROUND(BI63,0)</f>
        <v>45103</v>
      </c>
      <c r="G791" s="282">
        <f>ROUND(BI64,0)</f>
        <v>6103</v>
      </c>
      <c r="H791" s="282">
        <f>ROUND(BI65,0)</f>
        <v>5927</v>
      </c>
      <c r="I791" s="282">
        <f>ROUND(BI66,0)</f>
        <v>21587</v>
      </c>
      <c r="J791" s="282">
        <f>ROUND(BI67,0)</f>
        <v>0</v>
      </c>
      <c r="K791" s="282">
        <f>ROUND(BI68,0)</f>
        <v>42785</v>
      </c>
      <c r="L791" s="282">
        <f>ROUND(BI70,0)</f>
        <v>0</v>
      </c>
      <c r="M791" s="282">
        <f>ROUND(BI71,0)</f>
        <v>908734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nty*172*8510*A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nty*172*8530*A</v>
      </c>
      <c r="B793" s="282"/>
      <c r="C793" s="285">
        <f>ROUND(BK60,2)</f>
        <v>11.82</v>
      </c>
      <c r="D793" s="282">
        <f>ROUND(BK61,0)</f>
        <v>621859</v>
      </c>
      <c r="E793" s="282">
        <f>ROUND(BK62,0)</f>
        <v>138789</v>
      </c>
      <c r="F793" s="282">
        <f>ROUND(BK63,0)</f>
        <v>274394</v>
      </c>
      <c r="G793" s="282">
        <f>ROUND(BK64,0)</f>
        <v>26655</v>
      </c>
      <c r="H793" s="282">
        <f>ROUND(BK65,0)</f>
        <v>3067</v>
      </c>
      <c r="I793" s="282">
        <f>ROUND(BK66,0)</f>
        <v>266967</v>
      </c>
      <c r="J793" s="282">
        <f>ROUND(BK67,0)</f>
        <v>0</v>
      </c>
      <c r="K793" s="282">
        <f>ROUND(BK68,0)</f>
        <v>53162</v>
      </c>
      <c r="L793" s="282">
        <f>ROUND(BK70,0)</f>
        <v>0</v>
      </c>
      <c r="M793" s="282">
        <f>ROUND(BK71,0)</f>
        <v>1393769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nty*172*8560*A</v>
      </c>
      <c r="B794" s="282"/>
      <c r="C794" s="285">
        <f>ROUND(BL60,2)</f>
        <v>12.1</v>
      </c>
      <c r="D794" s="282">
        <f>ROUND(BL61,0)</f>
        <v>490289</v>
      </c>
      <c r="E794" s="282">
        <f>ROUND(BL62,0)</f>
        <v>109425</v>
      </c>
      <c r="F794" s="282">
        <f>ROUND(BL63,0)</f>
        <v>0</v>
      </c>
      <c r="G794" s="282">
        <f>ROUND(BL64,0)</f>
        <v>10717</v>
      </c>
      <c r="H794" s="282">
        <f>ROUND(BL65,0)</f>
        <v>480</v>
      </c>
      <c r="I794" s="282">
        <f>ROUND(BL66,0)</f>
        <v>529</v>
      </c>
      <c r="J794" s="282">
        <f>ROUND(BL67,0)</f>
        <v>20957</v>
      </c>
      <c r="K794" s="282">
        <f>ROUND(BL68,0)</f>
        <v>1341</v>
      </c>
      <c r="L794" s="282">
        <f>ROUND(BL70,0)</f>
        <v>0</v>
      </c>
      <c r="M794" s="282">
        <f>ROUND(BL71,0)</f>
        <v>636392</v>
      </c>
      <c r="N794" s="282"/>
      <c r="O794" s="282"/>
      <c r="P794" s="282">
        <f>IF(BL77&gt;0,ROUND(BL77,0),0)</f>
        <v>0</v>
      </c>
      <c r="Q794" s="282">
        <f>IF(BL78&gt;0,ROUND(BL78,0),0)</f>
        <v>223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nty*172*8590*A</v>
      </c>
      <c r="B795" s="282"/>
      <c r="C795" s="285">
        <f>ROUND(BM60,2)</f>
        <v>4.0199999999999996</v>
      </c>
      <c r="D795" s="282">
        <f>ROUND(BM61,0)</f>
        <v>315240</v>
      </c>
      <c r="E795" s="282">
        <f>ROUND(BM62,0)</f>
        <v>70356</v>
      </c>
      <c r="F795" s="282">
        <f>ROUND(BM63,0)</f>
        <v>87305</v>
      </c>
      <c r="G795" s="282">
        <f>ROUND(BM64,0)</f>
        <v>5477</v>
      </c>
      <c r="H795" s="282">
        <f>ROUND(BM65,0)</f>
        <v>10</v>
      </c>
      <c r="I795" s="282">
        <f>ROUND(BM66,0)</f>
        <v>13948</v>
      </c>
      <c r="J795" s="282">
        <f>ROUND(BM67,0)</f>
        <v>6655</v>
      </c>
      <c r="K795" s="282">
        <f>ROUND(BM68,0)</f>
        <v>0</v>
      </c>
      <c r="L795" s="282">
        <f>ROUND(BM70,0)</f>
        <v>291531</v>
      </c>
      <c r="M795" s="282">
        <f>ROUND(BM71,0)</f>
        <v>264325</v>
      </c>
      <c r="N795" s="282"/>
      <c r="O795" s="282"/>
      <c r="P795" s="282">
        <f>IF(BM77&gt;0,ROUND(BM77,0),0)</f>
        <v>0</v>
      </c>
      <c r="Q795" s="282">
        <f>IF(BM78&gt;0,ROUND(BM78,0),0)</f>
        <v>70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nty*172*8610*A</v>
      </c>
      <c r="B796" s="282"/>
      <c r="C796" s="285">
        <f>ROUND(BN60,2)</f>
        <v>3.76</v>
      </c>
      <c r="D796" s="282">
        <f>ROUND(BN61,0)</f>
        <v>670439</v>
      </c>
      <c r="E796" s="282">
        <f>ROUND(BN62,0)</f>
        <v>149631</v>
      </c>
      <c r="F796" s="282">
        <f>ROUND(BN63,0)</f>
        <v>263712</v>
      </c>
      <c r="G796" s="282">
        <f>ROUND(BN64,0)</f>
        <v>17527</v>
      </c>
      <c r="H796" s="282">
        <f>ROUND(BN65,0)</f>
        <v>960</v>
      </c>
      <c r="I796" s="282">
        <f>ROUND(BN66,0)</f>
        <v>103842</v>
      </c>
      <c r="J796" s="282">
        <f>ROUND(BN67,0)</f>
        <v>86273</v>
      </c>
      <c r="K796" s="282">
        <f>ROUND(BN68,0)</f>
        <v>9956</v>
      </c>
      <c r="L796" s="282">
        <f>ROUND(BN70,0)</f>
        <v>50000</v>
      </c>
      <c r="M796" s="282">
        <f>ROUND(BN71,0)</f>
        <v>1534633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nty*172*8620*A</v>
      </c>
      <c r="B797" s="282"/>
      <c r="C797" s="285">
        <f>ROUND(BO60,2)</f>
        <v>1.1499999999999999</v>
      </c>
      <c r="D797" s="282">
        <f>ROUND(BO61,0)</f>
        <v>102646</v>
      </c>
      <c r="E797" s="282">
        <f>ROUND(BO62,0)</f>
        <v>22909</v>
      </c>
      <c r="F797" s="282">
        <f>ROUND(BO63,0)</f>
        <v>0</v>
      </c>
      <c r="G797" s="282">
        <f>ROUND(BO64,0)</f>
        <v>2791</v>
      </c>
      <c r="H797" s="282">
        <f>ROUND(BO65,0)</f>
        <v>400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130780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nty*172*8630*A</v>
      </c>
      <c r="B798" s="282"/>
      <c r="C798" s="285">
        <f>ROUND(BP60,2)</f>
        <v>4.4800000000000004</v>
      </c>
      <c r="D798" s="282">
        <f>ROUND(BP61,0)</f>
        <v>297117</v>
      </c>
      <c r="E798" s="282">
        <f>ROUND(BP62,0)</f>
        <v>66312</v>
      </c>
      <c r="F798" s="282">
        <f>ROUND(BP63,0)</f>
        <v>384930</v>
      </c>
      <c r="G798" s="282">
        <f>ROUND(BP64,0)</f>
        <v>876</v>
      </c>
      <c r="H798" s="282">
        <f>ROUND(BP65,0)</f>
        <v>480</v>
      </c>
      <c r="I798" s="282">
        <f>ROUND(BP66,0)</f>
        <v>74142</v>
      </c>
      <c r="J798" s="282">
        <f>ROUND(BP67,0)</f>
        <v>6655</v>
      </c>
      <c r="K798" s="282">
        <f>ROUND(BP68,0)</f>
        <v>0</v>
      </c>
      <c r="L798" s="282">
        <f>ROUND(BP70,0)</f>
        <v>16085</v>
      </c>
      <c r="M798" s="282">
        <f>ROUND(BP71,0)</f>
        <v>865921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nty*172*8640*A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nty*172*8650*A</v>
      </c>
      <c r="B800" s="282"/>
      <c r="C800" s="285">
        <f>ROUND(BR60,2)</f>
        <v>7.1</v>
      </c>
      <c r="D800" s="282">
        <f>ROUND(BR61,0)</f>
        <v>617832</v>
      </c>
      <c r="E800" s="282">
        <f>ROUND(BR62,0)</f>
        <v>137890</v>
      </c>
      <c r="F800" s="282">
        <f>ROUND(BR63,0)</f>
        <v>88668</v>
      </c>
      <c r="G800" s="282">
        <f>ROUND(BR64,0)</f>
        <v>8471</v>
      </c>
      <c r="H800" s="282">
        <f>ROUND(BR65,0)</f>
        <v>0</v>
      </c>
      <c r="I800" s="282">
        <f>ROUND(BR66,0)</f>
        <v>66129</v>
      </c>
      <c r="J800" s="282">
        <f>ROUND(BR67,0)</f>
        <v>6655</v>
      </c>
      <c r="K800" s="282">
        <f>ROUND(BR68,0)</f>
        <v>0</v>
      </c>
      <c r="L800" s="282">
        <f>ROUND(BR70,0)</f>
        <v>26800</v>
      </c>
      <c r="M800" s="282">
        <f>ROUND(BR71,0)</f>
        <v>972272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nty*172*8660*A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nty*172*8670*A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nty*172*8680*A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nty*172*8690*A</v>
      </c>
      <c r="B804" s="282"/>
      <c r="C804" s="285">
        <f>ROUND(BV60,2)</f>
        <v>4.8499999999999996</v>
      </c>
      <c r="D804" s="282">
        <f>ROUND(BV61,0)</f>
        <v>284484</v>
      </c>
      <c r="E804" s="282">
        <f>ROUND(BV62,0)</f>
        <v>63492</v>
      </c>
      <c r="F804" s="282">
        <f>ROUND(BV63,0)</f>
        <v>182457</v>
      </c>
      <c r="G804" s="282">
        <f>ROUND(BV64,0)</f>
        <v>6338</v>
      </c>
      <c r="H804" s="282">
        <f>ROUND(BV65,0)</f>
        <v>0</v>
      </c>
      <c r="I804" s="282">
        <f>ROUND(BV66,0)</f>
        <v>37349</v>
      </c>
      <c r="J804" s="282">
        <f>ROUND(BV67,0)</f>
        <v>32743</v>
      </c>
      <c r="K804" s="282">
        <f>ROUND(BV68,0)</f>
        <v>7907</v>
      </c>
      <c r="L804" s="282">
        <f>ROUND(BV70,0)</f>
        <v>11468</v>
      </c>
      <c r="M804" s="282">
        <f>ROUND(BV71,0)</f>
        <v>603722</v>
      </c>
      <c r="N804" s="282"/>
      <c r="O804" s="282"/>
      <c r="P804" s="282">
        <f>IF(BV77&gt;0,ROUND(BV77,0),0)</f>
        <v>0</v>
      </c>
      <c r="Q804" s="282">
        <f>IF(BV78&gt;0,ROUND(BV78,0),0)</f>
        <v>348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nty*172*8700*A</v>
      </c>
      <c r="B805" s="282"/>
      <c r="C805" s="285">
        <f>ROUND(BW60,2)</f>
        <v>3.54</v>
      </c>
      <c r="D805" s="282">
        <f>ROUND(BW61,0)</f>
        <v>629817</v>
      </c>
      <c r="E805" s="282">
        <f>ROUND(BW62,0)</f>
        <v>140565</v>
      </c>
      <c r="F805" s="282">
        <f>ROUND(BW63,0)</f>
        <v>1148718</v>
      </c>
      <c r="G805" s="282">
        <f>ROUND(BW64,0)</f>
        <v>6480</v>
      </c>
      <c r="H805" s="282">
        <f>ROUND(BW65,0)</f>
        <v>960</v>
      </c>
      <c r="I805" s="282">
        <f>ROUND(BW66,0)</f>
        <v>17507</v>
      </c>
      <c r="J805" s="282">
        <f>ROUND(BW67,0)</f>
        <v>3630</v>
      </c>
      <c r="K805" s="282">
        <f>ROUND(BW68,0)</f>
        <v>0</v>
      </c>
      <c r="L805" s="282">
        <f>ROUND(BW70,0)</f>
        <v>249199</v>
      </c>
      <c r="M805" s="282">
        <f>ROUND(BW71,0)</f>
        <v>1769561</v>
      </c>
      <c r="N805" s="282"/>
      <c r="O805" s="282"/>
      <c r="P805" s="282">
        <f>IF(BW77&gt;0,ROUND(BW77,0),0)</f>
        <v>0</v>
      </c>
      <c r="Q805" s="282">
        <f>IF(BW78&gt;0,ROUND(BW78,0),0)</f>
        <v>39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nty*172*8710*A</v>
      </c>
      <c r="B806" s="282"/>
      <c r="C806" s="285">
        <f>ROUND(BX60,2)</f>
        <v>3.06</v>
      </c>
      <c r="D806" s="282">
        <f>ROUND(BX61,0)</f>
        <v>256524</v>
      </c>
      <c r="E806" s="282">
        <f>ROUND(BX62,0)</f>
        <v>57252</v>
      </c>
      <c r="F806" s="282">
        <f>ROUND(BX63,0)</f>
        <v>36023</v>
      </c>
      <c r="G806" s="282">
        <f>ROUND(BX64,0)</f>
        <v>2895</v>
      </c>
      <c r="H806" s="282">
        <f>ROUND(BX65,0)</f>
        <v>520</v>
      </c>
      <c r="I806" s="282">
        <f>ROUND(BX66,0)</f>
        <v>44863</v>
      </c>
      <c r="J806" s="282">
        <f>ROUND(BX67,0)</f>
        <v>3630</v>
      </c>
      <c r="K806" s="282">
        <f>ROUND(BX68,0)</f>
        <v>0</v>
      </c>
      <c r="L806" s="282">
        <f>ROUND(BX70,0)</f>
        <v>0</v>
      </c>
      <c r="M806" s="282">
        <f>ROUND(BX71,0)</f>
        <v>423513</v>
      </c>
      <c r="N806" s="282"/>
      <c r="O806" s="282"/>
      <c r="P806" s="282">
        <f>IF(BX77&gt;0,ROUND(BX77,0),0)</f>
        <v>0</v>
      </c>
      <c r="Q806" s="282">
        <f>IF(BX78&gt;0,ROUND(BX78,0),0)</f>
        <v>40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nty*172*8720*A</v>
      </c>
      <c r="B807" s="282"/>
      <c r="C807" s="285">
        <f>ROUND(BY60,2)</f>
        <v>6.64</v>
      </c>
      <c r="D807" s="282">
        <f>ROUND(BY61,0)</f>
        <v>849701</v>
      </c>
      <c r="E807" s="282">
        <f>ROUND(BY62,0)</f>
        <v>189640</v>
      </c>
      <c r="F807" s="282">
        <f>ROUND(BY63,0)</f>
        <v>506</v>
      </c>
      <c r="G807" s="282">
        <f>ROUND(BY64,0)</f>
        <v>4772</v>
      </c>
      <c r="H807" s="282">
        <f>ROUND(BY65,0)</f>
        <v>1350</v>
      </c>
      <c r="I807" s="282">
        <f>ROUND(BY66,0)</f>
        <v>1652</v>
      </c>
      <c r="J807" s="282">
        <f>ROUND(BY67,0)</f>
        <v>3630</v>
      </c>
      <c r="K807" s="282">
        <f>ROUND(BY68,0)</f>
        <v>0</v>
      </c>
      <c r="L807" s="282">
        <f>ROUND(BY70,0)</f>
        <v>23039</v>
      </c>
      <c r="M807" s="282">
        <f>ROUND(BY71,0)</f>
        <v>1047611</v>
      </c>
      <c r="N807" s="282"/>
      <c r="O807" s="282"/>
      <c r="P807" s="282">
        <f>IF(BY77&gt;0,ROUND(BY77,0),0)</f>
        <v>0</v>
      </c>
      <c r="Q807" s="282">
        <f>IF(BY78&gt;0,ROUND(BY78,0),0)</f>
        <v>40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nty*172*8730*A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nty*172*8740*A</v>
      </c>
      <c r="B809" s="282"/>
      <c r="C809" s="285">
        <f>ROUND(CA60,2)</f>
        <v>0</v>
      </c>
      <c r="D809" s="282">
        <f>ROUND(CA61,0)</f>
        <v>0</v>
      </c>
      <c r="E809" s="282">
        <f>ROUND(CA62,0)</f>
        <v>0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0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0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nty*172*8770*A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nty*172*8790*A</v>
      </c>
      <c r="B811" s="282"/>
      <c r="C811" s="285">
        <f>ROUND(CC60,2)</f>
        <v>0</v>
      </c>
      <c r="D811" s="282">
        <f>ROUND(CC61,0)</f>
        <v>0</v>
      </c>
      <c r="E811" s="282">
        <f>ROUND(CC62,0)</f>
        <v>0</v>
      </c>
      <c r="F811" s="282">
        <f>ROUND(CC63,0)</f>
        <v>0</v>
      </c>
      <c r="G811" s="282">
        <f>ROUND(CC64,0)</f>
        <v>0</v>
      </c>
      <c r="H811" s="282">
        <f>ROUND(CC65,0)</f>
        <v>0</v>
      </c>
      <c r="I811" s="282">
        <f>ROUND(CC66,0)</f>
        <v>0</v>
      </c>
      <c r="J811" s="282">
        <f>ROUND(CC67,0)</f>
        <v>611098</v>
      </c>
      <c r="K811" s="282">
        <f>ROUND(CC68,0)</f>
        <v>0</v>
      </c>
      <c r="L811" s="282">
        <f>ROUND(CC70,0)</f>
        <v>0</v>
      </c>
      <c r="M811" s="282">
        <f>ROUND(CC71,0)</f>
        <v>611098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nty*172*9000*A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28943</v>
      </c>
      <c r="V812" s="180">
        <f>ROUND(CD69,0)</f>
        <v>1561611</v>
      </c>
      <c r="W812" s="180">
        <f>ROUND(CD71,0)</f>
        <v>1532668</v>
      </c>
      <c r="X812" s="282">
        <f>ROUND(CE73,0)</f>
        <v>32157772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2">
        <f t="shared" ref="C814:K814" si="22">SUM(C733:C812)</f>
        <v>387.91000000000008</v>
      </c>
      <c r="D814" s="180">
        <f t="shared" si="22"/>
        <v>32785656</v>
      </c>
      <c r="E814" s="180">
        <f t="shared" si="22"/>
        <v>7317230</v>
      </c>
      <c r="F814" s="180">
        <f t="shared" si="22"/>
        <v>4593714</v>
      </c>
      <c r="G814" s="180">
        <f t="shared" si="22"/>
        <v>11965730</v>
      </c>
      <c r="H814" s="180">
        <f t="shared" si="22"/>
        <v>738293</v>
      </c>
      <c r="I814" s="180">
        <f t="shared" si="22"/>
        <v>3614610</v>
      </c>
      <c r="J814" s="180">
        <f t="shared" si="22"/>
        <v>2913364</v>
      </c>
      <c r="K814" s="180">
        <f t="shared" si="22"/>
        <v>500721</v>
      </c>
      <c r="L814" s="180">
        <f>SUM(L733:L812)+SUM(U733:U812)</f>
        <v>1987185</v>
      </c>
      <c r="M814" s="180">
        <f>SUM(M733:M812)+SUM(W733:W812)</f>
        <v>65327083</v>
      </c>
      <c r="N814" s="180">
        <f t="shared" ref="N814:Z814" si="23">SUM(N733:N812)</f>
        <v>63654</v>
      </c>
      <c r="O814" s="180">
        <f t="shared" si="23"/>
        <v>100411431</v>
      </c>
      <c r="P814" s="180">
        <f t="shared" si="23"/>
        <v>21477</v>
      </c>
      <c r="Q814" s="180">
        <f t="shared" si="23"/>
        <v>20278</v>
      </c>
      <c r="R814" s="180">
        <f t="shared" si="23"/>
        <v>396523</v>
      </c>
      <c r="S814" s="180">
        <f t="shared" si="23"/>
        <v>81</v>
      </c>
      <c r="T814" s="262">
        <f t="shared" si="23"/>
        <v>0</v>
      </c>
      <c r="U814" s="180">
        <f t="shared" si="23"/>
        <v>28943</v>
      </c>
      <c r="V814" s="180">
        <f t="shared" si="23"/>
        <v>1561611</v>
      </c>
      <c r="W814" s="180">
        <f t="shared" si="23"/>
        <v>1532668</v>
      </c>
      <c r="X814" s="180">
        <f t="shared" si="23"/>
        <v>32157772</v>
      </c>
      <c r="Y814" s="180">
        <f t="shared" si="23"/>
        <v>0</v>
      </c>
      <c r="Z814" s="180">
        <f t="shared" si="23"/>
        <v>19921726</v>
      </c>
    </row>
    <row r="815" spans="1:26" ht="12.65" customHeight="1" x14ac:dyDescent="0.35">
      <c r="B815" s="180" t="s">
        <v>1005</v>
      </c>
      <c r="C815" s="262">
        <f>CE60</f>
        <v>387.91000000000008</v>
      </c>
      <c r="D815" s="180">
        <f>CE61</f>
        <v>32785656</v>
      </c>
      <c r="E815" s="180">
        <f>CE62</f>
        <v>7317230</v>
      </c>
      <c r="F815" s="180">
        <f>CE63</f>
        <v>4593714</v>
      </c>
      <c r="G815" s="180">
        <f>CE64</f>
        <v>11965730</v>
      </c>
      <c r="H815" s="239">
        <f>CE65</f>
        <v>738293</v>
      </c>
      <c r="I815" s="239">
        <f>CE66</f>
        <v>3614610</v>
      </c>
      <c r="J815" s="239">
        <f>CE67</f>
        <v>2913364</v>
      </c>
      <c r="K815" s="239">
        <f>CE68</f>
        <v>500721</v>
      </c>
      <c r="L815" s="239">
        <f>CE70</f>
        <v>1987185</v>
      </c>
      <c r="M815" s="239">
        <f>CE71</f>
        <v>65327083</v>
      </c>
      <c r="N815" s="180">
        <f>CE76</f>
        <v>120387</v>
      </c>
      <c r="O815" s="180">
        <f>CE74</f>
        <v>100411431</v>
      </c>
      <c r="P815" s="180">
        <f>CE77</f>
        <v>21476.36</v>
      </c>
      <c r="Q815" s="180">
        <f>CE78</f>
        <v>20278</v>
      </c>
      <c r="R815" s="180">
        <f>CE79</f>
        <v>396523</v>
      </c>
      <c r="S815" s="180">
        <f>CE80</f>
        <v>81.663809134615391</v>
      </c>
      <c r="T815" s="262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19925516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32785656</v>
      </c>
      <c r="G816" s="239">
        <f>C379</f>
        <v>7317229</v>
      </c>
      <c r="H816" s="239">
        <f>C380</f>
        <v>4593714</v>
      </c>
      <c r="I816" s="239">
        <f>C381</f>
        <v>11965730</v>
      </c>
      <c r="J816" s="239">
        <f>C382</f>
        <v>738293</v>
      </c>
      <c r="K816" s="239">
        <f>C383</f>
        <v>3614610</v>
      </c>
      <c r="L816" s="239">
        <f>C384+C385+C386+C388</f>
        <v>4233297</v>
      </c>
      <c r="M816" s="239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Public Hospital District #1-A of Whitman County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H-172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835 SE Bishop Blvd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835 SE Bishop Blvd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Pullman WA 99163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28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H-172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Public Hospital District #1-A of Whitman County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Whitman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Scott K Adams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Steven D Febus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Jeff Elbracht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509-332-2541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509-332-4242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1044</v>
      </c>
      <c r="G23" s="21">
        <f>data!D111</f>
        <v>3074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12</v>
      </c>
      <c r="G24" s="21">
        <f>data!D112</f>
        <v>165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354</v>
      </c>
      <c r="G26" s="13">
        <f>data!D114</f>
        <v>652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2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8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207443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6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Public Hospital District #1-A of Whitman County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419</v>
      </c>
      <c r="C7" s="48">
        <f>data!B139</f>
        <v>1308</v>
      </c>
      <c r="D7" s="48">
        <f>data!B140</f>
        <v>21545</v>
      </c>
      <c r="E7" s="48">
        <f>data!B141</f>
        <v>13854229</v>
      </c>
      <c r="F7" s="48">
        <f>data!B142</f>
        <v>32782704</v>
      </c>
      <c r="G7" s="48">
        <f>data!B141+data!B142</f>
        <v>46636933</v>
      </c>
    </row>
    <row r="8" spans="1:13" ht="20.149999999999999" customHeight="1" x14ac:dyDescent="0.35">
      <c r="A8" s="23" t="s">
        <v>297</v>
      </c>
      <c r="B8" s="48">
        <f>data!C138</f>
        <v>241</v>
      </c>
      <c r="C8" s="48">
        <f>data!C139</f>
        <v>612</v>
      </c>
      <c r="D8" s="48">
        <f>data!C140</f>
        <v>9572</v>
      </c>
      <c r="E8" s="48">
        <f>data!C141</f>
        <v>3430669</v>
      </c>
      <c r="F8" s="48">
        <f>data!C142</f>
        <v>12154969</v>
      </c>
      <c r="G8" s="48">
        <f>data!C141+data!C142</f>
        <v>15585638</v>
      </c>
    </row>
    <row r="9" spans="1:13" ht="20.149999999999999" customHeight="1" x14ac:dyDescent="0.35">
      <c r="A9" s="23" t="s">
        <v>1058</v>
      </c>
      <c r="B9" s="48">
        <f>data!D138</f>
        <v>384</v>
      </c>
      <c r="C9" s="48">
        <f>data!D139</f>
        <v>1154</v>
      </c>
      <c r="D9" s="48">
        <f>data!D140</f>
        <v>44796</v>
      </c>
      <c r="E9" s="48">
        <f>data!D141</f>
        <v>10281513</v>
      </c>
      <c r="F9" s="48">
        <f>data!D142</f>
        <v>57069536</v>
      </c>
      <c r="G9" s="48">
        <f>data!D141+data!D142</f>
        <v>67351049</v>
      </c>
    </row>
    <row r="10" spans="1:13" ht="20.149999999999999" customHeight="1" x14ac:dyDescent="0.35">
      <c r="A10" s="111" t="s">
        <v>203</v>
      </c>
      <c r="B10" s="48">
        <f>data!E138</f>
        <v>1044</v>
      </c>
      <c r="C10" s="48">
        <f>data!E139</f>
        <v>3074</v>
      </c>
      <c r="D10" s="48">
        <f>data!E140</f>
        <v>75913</v>
      </c>
      <c r="E10" s="48">
        <f>data!E141</f>
        <v>27566411</v>
      </c>
      <c r="F10" s="48">
        <f>data!E142</f>
        <v>102007209</v>
      </c>
      <c r="G10" s="48">
        <f>data!E141+data!E142</f>
        <v>129573620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11</v>
      </c>
      <c r="C16" s="48">
        <f>data!B145</f>
        <v>164</v>
      </c>
      <c r="D16" s="48">
        <f>data!B146</f>
        <v>0</v>
      </c>
      <c r="E16" s="48">
        <f>data!B147</f>
        <v>206197</v>
      </c>
      <c r="F16" s="48">
        <f>data!B148</f>
        <v>0</v>
      </c>
      <c r="G16" s="48">
        <f>data!B147+data!B148</f>
        <v>206197</v>
      </c>
    </row>
    <row r="17" spans="1:7" ht="20.149999999999999" customHeight="1" x14ac:dyDescent="0.35">
      <c r="A17" s="23" t="s">
        <v>297</v>
      </c>
      <c r="B17" s="48">
        <f>data!C144</f>
        <v>1</v>
      </c>
      <c r="C17" s="48">
        <f>data!C145</f>
        <v>1</v>
      </c>
      <c r="D17" s="48">
        <f>data!C146</f>
        <v>0</v>
      </c>
      <c r="E17" s="48">
        <f>data!C147</f>
        <v>1246</v>
      </c>
      <c r="F17" s="48">
        <f>data!C148</f>
        <v>0</v>
      </c>
      <c r="G17" s="48">
        <f>data!C147+data!C148</f>
        <v>1246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12</v>
      </c>
      <c r="C19" s="48">
        <f>data!E145</f>
        <v>165</v>
      </c>
      <c r="D19" s="48">
        <f>data!E146</f>
        <v>0</v>
      </c>
      <c r="E19" s="48">
        <f>data!E147</f>
        <v>207443</v>
      </c>
      <c r="F19" s="48">
        <f>data!E148</f>
        <v>0</v>
      </c>
      <c r="G19" s="48">
        <f>data!E147+data!E148</f>
        <v>207443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5747633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5973642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Public Hospital District #1-A of Whitman County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2148390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82592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146254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3618146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12596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967674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76834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528094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7580580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137586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465393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602979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177060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147749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324809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4568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688112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692680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506598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959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507557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Public Hospital District #1-A of Whitman County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1813305</v>
      </c>
      <c r="D7" s="21">
        <f>data!C195</f>
        <v>0</v>
      </c>
      <c r="E7" s="21">
        <f>data!D195</f>
        <v>0</v>
      </c>
      <c r="F7" s="21">
        <f>data!E195</f>
        <v>1813305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3741283</v>
      </c>
      <c r="D8" s="21">
        <f>data!C196</f>
        <v>0</v>
      </c>
      <c r="E8" s="21">
        <f>data!D196</f>
        <v>47810</v>
      </c>
      <c r="F8" s="21">
        <f>data!E196</f>
        <v>3693473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17930954.82</v>
      </c>
      <c r="D9" s="21">
        <f>data!C197</f>
        <v>1095338.55</v>
      </c>
      <c r="E9" s="21">
        <f>data!D197</f>
        <v>523018</v>
      </c>
      <c r="F9" s="21">
        <f>data!E197</f>
        <v>18503275.370000001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15339337.35</v>
      </c>
      <c r="D10" s="21">
        <f>data!C198</f>
        <v>482573</v>
      </c>
      <c r="E10" s="21">
        <f>data!D198</f>
        <v>28382</v>
      </c>
      <c r="F10" s="21">
        <f>data!E198</f>
        <v>15793528.35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1111042.2</v>
      </c>
      <c r="D11" s="21">
        <f>data!C199</f>
        <v>0</v>
      </c>
      <c r="E11" s="21">
        <f>data!D199</f>
        <v>55152</v>
      </c>
      <c r="F11" s="21">
        <f>data!E199</f>
        <v>1055890.2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15714510.579999998</v>
      </c>
      <c r="D12" s="21">
        <f>data!C200</f>
        <v>723591</v>
      </c>
      <c r="E12" s="21">
        <f>data!D200</f>
        <v>785667</v>
      </c>
      <c r="F12" s="21">
        <f>data!E200</f>
        <v>15652434.579999998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1148208</v>
      </c>
      <c r="D15" s="21">
        <f>data!C203</f>
        <v>434773</v>
      </c>
      <c r="E15" s="21">
        <f>data!D203</f>
        <v>1511833</v>
      </c>
      <c r="F15" s="21">
        <f>data!E203</f>
        <v>71148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56798640.950000003</v>
      </c>
      <c r="D16" s="21">
        <f>data!C204</f>
        <v>2736275.55</v>
      </c>
      <c r="E16" s="21">
        <f>data!D204</f>
        <v>2951862</v>
      </c>
      <c r="F16" s="21">
        <f>data!E204</f>
        <v>56583054.5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1858766.23</v>
      </c>
      <c r="D24" s="21">
        <f>data!C209</f>
        <v>104222</v>
      </c>
      <c r="E24" s="21">
        <f>data!D209</f>
        <v>47810</v>
      </c>
      <c r="F24" s="21">
        <f>data!E209</f>
        <v>1915178.23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4697415.040000001</v>
      </c>
      <c r="D25" s="21">
        <f>data!C210</f>
        <v>751965</v>
      </c>
      <c r="E25" s="21">
        <f>data!D210</f>
        <v>522951</v>
      </c>
      <c r="F25" s="21">
        <f>data!E210</f>
        <v>4926429.040000001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11885209.51</v>
      </c>
      <c r="D26" s="21">
        <f>data!C211</f>
        <v>492229</v>
      </c>
      <c r="E26" s="21">
        <f>data!D211</f>
        <v>28384</v>
      </c>
      <c r="F26" s="21">
        <f>data!E211</f>
        <v>12349054.51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965192.74</v>
      </c>
      <c r="D27" s="21">
        <f>data!C212</f>
        <v>14303</v>
      </c>
      <c r="E27" s="21">
        <f>data!D212</f>
        <v>55152</v>
      </c>
      <c r="F27" s="21">
        <f>data!E212</f>
        <v>924343.74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11067202.390000001</v>
      </c>
      <c r="D28" s="21">
        <f>data!C213</f>
        <v>1423515</v>
      </c>
      <c r="E28" s="21">
        <f>data!D213</f>
        <v>784763</v>
      </c>
      <c r="F28" s="21">
        <f>data!E213</f>
        <v>11705954.390000001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 t="str">
        <f>data!C216</f>
        <v xml:space="preserve"> 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30473785.91</v>
      </c>
      <c r="D32" s="21">
        <f>data!C217</f>
        <v>2786234</v>
      </c>
      <c r="E32" s="21">
        <f>data!D217</f>
        <v>1439060</v>
      </c>
      <c r="F32" s="21">
        <f>data!E217</f>
        <v>31820959.91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Public Hospital District #1-A of Whitman County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2093459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23393383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7143453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758000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569160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23540432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55404428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529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156137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633821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789958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1176512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147167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59611524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Public Hospital District #1-A of Whitman County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10181956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18553644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10900818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43584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875749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2082242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965711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21802068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24670769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24670769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1813305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3693473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18503275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15793528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1055891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15652435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71148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56583055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31820960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24762095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536983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-300000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236983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71471915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Public Hospital District #1-A of Whitman County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2302675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3567948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-192000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258676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5937299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799475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11608141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10079801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22487417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22487417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43047199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43047199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71471915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Public Hospital District #1-A of Whitman County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27773854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102007209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129781063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2093459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55404428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789958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1323679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59611524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70169539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8399492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1239883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9639375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79808914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31519203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7580580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5343108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11471442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749575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3560333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2786234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602979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324809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692680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507557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829351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65967851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13841063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-2766156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11074907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11074907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Public Hospital District #1-A of Whitman County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683</v>
      </c>
      <c r="D9" s="14">
        <f>data!D59</f>
        <v>0</v>
      </c>
      <c r="E9" s="14">
        <f>data!E59</f>
        <v>2391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13.07</v>
      </c>
      <c r="D10" s="26">
        <f>data!D60</f>
        <v>0</v>
      </c>
      <c r="E10" s="26">
        <f>data!E60</f>
        <v>26.52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1209996</v>
      </c>
      <c r="D11" s="14">
        <f>data!D61</f>
        <v>0</v>
      </c>
      <c r="E11" s="14">
        <f>data!E61</f>
        <v>3094230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291012</v>
      </c>
      <c r="D12" s="14">
        <f>data!D62</f>
        <v>0</v>
      </c>
      <c r="E12" s="14">
        <f>data!E62</f>
        <v>744183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104439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58401</v>
      </c>
      <c r="D14" s="14">
        <f>data!D64</f>
        <v>0</v>
      </c>
      <c r="E14" s="14">
        <f>data!E64</f>
        <v>80082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480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38465</v>
      </c>
      <c r="D16" s="14">
        <f>data!D66</f>
        <v>0</v>
      </c>
      <c r="E16" s="14">
        <f>data!E66</f>
        <v>26597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41752</v>
      </c>
      <c r="D17" s="14">
        <f>data!D67</f>
        <v>0</v>
      </c>
      <c r="E17" s="14">
        <f>data!E67</f>
        <v>224797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12620</v>
      </c>
      <c r="D18" s="14">
        <f>data!D68</f>
        <v>0</v>
      </c>
      <c r="E18" s="14">
        <f>data!E68</f>
        <v>62012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1485</v>
      </c>
      <c r="D19" s="14">
        <f>data!D69</f>
        <v>0</v>
      </c>
      <c r="E19" s="14">
        <f>data!E69</f>
        <v>5696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-6400</v>
      </c>
      <c r="D20" s="14">
        <f>-data!D70</f>
        <v>0</v>
      </c>
      <c r="E20" s="14">
        <f>-data!E70</f>
        <v>-1452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1647811</v>
      </c>
      <c r="D21" s="14">
        <f>data!D71</f>
        <v>0</v>
      </c>
      <c r="E21" s="14">
        <f>data!E71</f>
        <v>4340584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512460</v>
      </c>
      <c r="D23" s="48">
        <f>+data!M669</f>
        <v>0</v>
      </c>
      <c r="E23" s="48">
        <f>+data!M670</f>
        <v>871239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1573253</v>
      </c>
      <c r="D24" s="14">
        <f>data!D73</f>
        <v>0</v>
      </c>
      <c r="E24" s="14">
        <f>data!E73</f>
        <v>2991517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901729</v>
      </c>
      <c r="D25" s="14">
        <f>data!D74</f>
        <v>0</v>
      </c>
      <c r="E25" s="14">
        <f>data!E74</f>
        <v>2985564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2474982</v>
      </c>
      <c r="D26" s="14">
        <f>data!D75</f>
        <v>0</v>
      </c>
      <c r="E26" s="14">
        <f>data!E75</f>
        <v>5977081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1804</v>
      </c>
      <c r="D28" s="14">
        <f>data!D76</f>
        <v>0</v>
      </c>
      <c r="E28" s="14">
        <f>data!E76</f>
        <v>9713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4277.93</v>
      </c>
      <c r="D29" s="14">
        <f>data!D77</f>
        <v>0</v>
      </c>
      <c r="E29" s="14">
        <f>data!E77</f>
        <v>7797.09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1317</v>
      </c>
      <c r="D30" s="14">
        <f>data!D78</f>
        <v>0</v>
      </c>
      <c r="E30" s="14">
        <f>data!E78</f>
        <v>3687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16658</v>
      </c>
      <c r="D31" s="14">
        <f>data!D79</f>
        <v>0</v>
      </c>
      <c r="E31" s="14">
        <f>data!E79</f>
        <v>49975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9.5084134615384617</v>
      </c>
      <c r="D32" s="84">
        <f>data!D80</f>
        <v>0</v>
      </c>
      <c r="E32" s="84">
        <f>data!E80</f>
        <v>14.839903846153845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Public Hospital District #1-A of Whitman County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652</v>
      </c>
      <c r="D41" s="14">
        <f>data!K59</f>
        <v>0</v>
      </c>
      <c r="E41" s="14">
        <f>data!L59</f>
        <v>165</v>
      </c>
      <c r="F41" s="14">
        <f>data!M59</f>
        <v>0</v>
      </c>
      <c r="G41" s="14">
        <f>data!N59</f>
        <v>0</v>
      </c>
      <c r="H41" s="14">
        <f>data!O59</f>
        <v>354</v>
      </c>
      <c r="I41" s="14">
        <f>data!P59</f>
        <v>216756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19.649999999999999</v>
      </c>
      <c r="I42" s="26">
        <f>data!P60</f>
        <v>44.5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1878816</v>
      </c>
      <c r="I43" s="14">
        <f>data!P61</f>
        <v>3945942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451868</v>
      </c>
      <c r="I44" s="14">
        <f>data!P62</f>
        <v>949026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2866</v>
      </c>
      <c r="I45" s="14">
        <f>data!P63</f>
        <v>3355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104249</v>
      </c>
      <c r="I46" s="14">
        <f>data!P64</f>
        <v>1382548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480</v>
      </c>
      <c r="I47" s="14">
        <f>data!P65</f>
        <v>1920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70309</v>
      </c>
      <c r="I48" s="14">
        <f>data!P66</f>
        <v>422633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191655</v>
      </c>
      <c r="I49" s="14">
        <f>data!P67</f>
        <v>372919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26509</v>
      </c>
      <c r="I50" s="14">
        <f>data!P68</f>
        <v>74723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9530</v>
      </c>
      <c r="I51" s="14">
        <f>data!P69</f>
        <v>15077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-3675</v>
      </c>
      <c r="I52" s="14">
        <f>-data!P70</f>
        <v>-6890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2732607</v>
      </c>
      <c r="I53" s="14">
        <f>data!P71</f>
        <v>7161253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47353</v>
      </c>
      <c r="D55" s="48">
        <f>+data!M676</f>
        <v>0</v>
      </c>
      <c r="E55" s="48">
        <f>+data!M677</f>
        <v>14507</v>
      </c>
      <c r="F55" s="48">
        <f>+data!M678</f>
        <v>0</v>
      </c>
      <c r="G55" s="48">
        <f>+data!M679</f>
        <v>0</v>
      </c>
      <c r="H55" s="48">
        <f>+data!M680</f>
        <v>517748</v>
      </c>
      <c r="I55" s="48">
        <f>+data!M681</f>
        <v>1603476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462516</v>
      </c>
      <c r="D56" s="14">
        <f>data!K73</f>
        <v>0</v>
      </c>
      <c r="E56" s="14">
        <f>data!L73</f>
        <v>207443</v>
      </c>
      <c r="F56" s="14">
        <f>data!M73</f>
        <v>0</v>
      </c>
      <c r="G56" s="14">
        <f>data!N73</f>
        <v>0</v>
      </c>
      <c r="H56" s="14">
        <f>data!O73</f>
        <v>2357986</v>
      </c>
      <c r="I56" s="14">
        <f>data!P73</f>
        <v>4345536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484371</v>
      </c>
      <c r="I57" s="14">
        <f>data!P74</f>
        <v>12787004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462516</v>
      </c>
      <c r="D58" s="14">
        <f>data!K75</f>
        <v>0</v>
      </c>
      <c r="E58" s="14">
        <f>data!L75</f>
        <v>207443</v>
      </c>
      <c r="F58" s="14">
        <f>data!M75</f>
        <v>0</v>
      </c>
      <c r="G58" s="14">
        <f>data!N75</f>
        <v>0</v>
      </c>
      <c r="H58" s="14">
        <f>data!O75</f>
        <v>2842357</v>
      </c>
      <c r="I58" s="14">
        <f>data!P75</f>
        <v>17132540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8281</v>
      </c>
      <c r="I60" s="14">
        <f>data!P76</f>
        <v>16113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4553.28</v>
      </c>
      <c r="I61" s="14">
        <f>data!P77</f>
        <v>2474.13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2897</v>
      </c>
      <c r="I62" s="14">
        <f>data!P78</f>
        <v>2370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19435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38869</v>
      </c>
      <c r="I63" s="14">
        <f>data!P79</f>
        <v>49975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14.647836538461538</v>
      </c>
      <c r="I64" s="26">
        <f>data!P80</f>
        <v>23.044362499999998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Public Hospital District #1-A of Whitman County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99278</v>
      </c>
      <c r="D73" s="48">
        <f>data!R59</f>
        <v>166440</v>
      </c>
      <c r="E73" s="212"/>
      <c r="F73" s="212"/>
      <c r="G73" s="14">
        <f>data!U59</f>
        <v>110012</v>
      </c>
      <c r="H73" s="14">
        <f>data!V59</f>
        <v>3412</v>
      </c>
      <c r="I73" s="14">
        <f>data!W59</f>
        <v>2536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15.27</v>
      </c>
      <c r="H74" s="26">
        <f>data!V60</f>
        <v>0</v>
      </c>
      <c r="I74" s="26">
        <f>data!W60</f>
        <v>2.94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977248</v>
      </c>
      <c r="H75" s="14">
        <f>data!V61</f>
        <v>0</v>
      </c>
      <c r="I75" s="14">
        <f>data!W61</f>
        <v>307226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235035</v>
      </c>
      <c r="H76" s="14">
        <f>data!V62</f>
        <v>0</v>
      </c>
      <c r="I76" s="14">
        <f>data!W62</f>
        <v>73890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506322</v>
      </c>
      <c r="E77" s="14">
        <f>data!S63</f>
        <v>1168</v>
      </c>
      <c r="F77" s="14">
        <f>data!T63</f>
        <v>0</v>
      </c>
      <c r="G77" s="14">
        <f>data!U63</f>
        <v>697718</v>
      </c>
      <c r="H77" s="14">
        <f>data!V63</f>
        <v>0</v>
      </c>
      <c r="I77" s="14">
        <f>data!W63</f>
        <v>5256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24351</v>
      </c>
      <c r="D78" s="14">
        <f>data!R64</f>
        <v>115379</v>
      </c>
      <c r="E78" s="14">
        <f>data!S64</f>
        <v>4374244</v>
      </c>
      <c r="F78" s="14">
        <f>data!T64</f>
        <v>0</v>
      </c>
      <c r="G78" s="14">
        <f>data!U64</f>
        <v>616877</v>
      </c>
      <c r="H78" s="14">
        <f>data!V64</f>
        <v>0</v>
      </c>
      <c r="I78" s="14">
        <f>data!W64</f>
        <v>10039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960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499</v>
      </c>
      <c r="D80" s="14">
        <f>data!R66</f>
        <v>283</v>
      </c>
      <c r="E80" s="14">
        <f>data!S66</f>
        <v>0</v>
      </c>
      <c r="F80" s="14">
        <f>data!T66</f>
        <v>0</v>
      </c>
      <c r="G80" s="14">
        <f>data!U66</f>
        <v>80404</v>
      </c>
      <c r="H80" s="14">
        <f>data!V66</f>
        <v>0</v>
      </c>
      <c r="I80" s="14">
        <f>data!W66</f>
        <v>158782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33304</v>
      </c>
      <c r="F81" s="14">
        <f>data!T67</f>
        <v>0</v>
      </c>
      <c r="G81" s="14">
        <f>data!U67</f>
        <v>45362</v>
      </c>
      <c r="H81" s="14">
        <f>data!V67</f>
        <v>7151</v>
      </c>
      <c r="I81" s="14">
        <f>data!W67</f>
        <v>11665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65608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12</v>
      </c>
      <c r="E83" s="14">
        <f>data!S69</f>
        <v>89926</v>
      </c>
      <c r="F83" s="14">
        <f>data!T69</f>
        <v>0</v>
      </c>
      <c r="G83" s="14">
        <f>data!U69</f>
        <v>7734</v>
      </c>
      <c r="H83" s="14">
        <f>data!V69</f>
        <v>0</v>
      </c>
      <c r="I83" s="14">
        <f>data!W69</f>
        <v>240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-5745</v>
      </c>
      <c r="F84" s="14">
        <f>-data!T70</f>
        <v>0</v>
      </c>
      <c r="G84" s="14">
        <f>-data!U70</f>
        <v>-30000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24850</v>
      </c>
      <c r="D85" s="14">
        <f>data!R71</f>
        <v>621996</v>
      </c>
      <c r="E85" s="14">
        <f>data!S71</f>
        <v>4558505</v>
      </c>
      <c r="F85" s="14">
        <f>data!T71</f>
        <v>0</v>
      </c>
      <c r="G85" s="14">
        <f>data!U71</f>
        <v>2631338</v>
      </c>
      <c r="H85" s="14">
        <f>data!V71</f>
        <v>7151</v>
      </c>
      <c r="I85" s="14">
        <f>data!W71</f>
        <v>567098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104694</v>
      </c>
      <c r="D87" s="48">
        <f>+data!M683</f>
        <v>316916</v>
      </c>
      <c r="E87" s="48">
        <f>+data!M684</f>
        <v>1471498</v>
      </c>
      <c r="F87" s="48">
        <f>+data!M685</f>
        <v>0</v>
      </c>
      <c r="G87" s="48">
        <f>+data!M686</f>
        <v>960598</v>
      </c>
      <c r="H87" s="48">
        <f>+data!M687</f>
        <v>45726</v>
      </c>
      <c r="I87" s="48">
        <f>+data!M688</f>
        <v>454766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379818</v>
      </c>
      <c r="D88" s="14">
        <f>data!R73</f>
        <v>1164928</v>
      </c>
      <c r="E88" s="14">
        <f>data!S73</f>
        <v>6104570</v>
      </c>
      <c r="F88" s="14">
        <f>data!T73</f>
        <v>0</v>
      </c>
      <c r="G88" s="14">
        <f>data!U73</f>
        <v>1722701</v>
      </c>
      <c r="H88" s="14">
        <f>data!V73</f>
        <v>47389</v>
      </c>
      <c r="I88" s="14">
        <f>data!W73</f>
        <v>41692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1091162</v>
      </c>
      <c r="D89" s="14">
        <f>data!R74</f>
        <v>3039076</v>
      </c>
      <c r="E89" s="14">
        <f>data!S74</f>
        <v>11006496</v>
      </c>
      <c r="F89" s="14">
        <f>data!T74</f>
        <v>0</v>
      </c>
      <c r="G89" s="14">
        <f>data!U74</f>
        <v>9734830</v>
      </c>
      <c r="H89" s="14">
        <f>data!V74</f>
        <v>473130</v>
      </c>
      <c r="I89" s="14">
        <f>data!W74</f>
        <v>5972038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1470980</v>
      </c>
      <c r="D90" s="14">
        <f>data!R75</f>
        <v>4204004</v>
      </c>
      <c r="E90" s="14">
        <f>data!S75</f>
        <v>17111066</v>
      </c>
      <c r="F90" s="14">
        <f>data!T75</f>
        <v>0</v>
      </c>
      <c r="G90" s="14">
        <f>data!U75</f>
        <v>11457531</v>
      </c>
      <c r="H90" s="14">
        <f>data!V75</f>
        <v>520519</v>
      </c>
      <c r="I90" s="14">
        <f>data!W75</f>
        <v>6013730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1439</v>
      </c>
      <c r="F92" s="14">
        <f>data!T76</f>
        <v>0</v>
      </c>
      <c r="G92" s="14">
        <f>data!U76</f>
        <v>1960</v>
      </c>
      <c r="H92" s="14">
        <f>data!V76</f>
        <v>309</v>
      </c>
      <c r="I92" s="14">
        <f>data!W76</f>
        <v>504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1053</v>
      </c>
      <c r="H94" s="14">
        <f>data!V78</f>
        <v>527</v>
      </c>
      <c r="I94" s="14">
        <f>data!W78</f>
        <v>527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8329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Public Hospital District #1-A of Whitman County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4578</v>
      </c>
      <c r="D105" s="14">
        <f>data!Y59</f>
        <v>22572</v>
      </c>
      <c r="E105" s="14">
        <f>data!Z59</f>
        <v>0</v>
      </c>
      <c r="F105" s="14">
        <f>data!AA59</f>
        <v>863</v>
      </c>
      <c r="G105" s="212"/>
      <c r="H105" s="14">
        <f>data!AC59</f>
        <v>13786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0.84</v>
      </c>
      <c r="D106" s="26">
        <f>data!Y60</f>
        <v>20.740000000000002</v>
      </c>
      <c r="E106" s="26">
        <f>data!Z60</f>
        <v>0</v>
      </c>
      <c r="F106" s="26">
        <f>data!AA60</f>
        <v>2</v>
      </c>
      <c r="G106" s="26">
        <f>data!AB60</f>
        <v>5.99</v>
      </c>
      <c r="H106" s="26">
        <f>data!AC60</f>
        <v>10.48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63543</v>
      </c>
      <c r="D107" s="14">
        <f>data!Y61</f>
        <v>1706094</v>
      </c>
      <c r="E107" s="14">
        <f>data!Z61</f>
        <v>0</v>
      </c>
      <c r="F107" s="14">
        <f>data!AA61</f>
        <v>225375</v>
      </c>
      <c r="G107" s="14">
        <f>data!AB61</f>
        <v>704535</v>
      </c>
      <c r="H107" s="14">
        <f>data!AC61</f>
        <v>803654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15283</v>
      </c>
      <c r="D108" s="14">
        <f>data!Y62</f>
        <v>410327</v>
      </c>
      <c r="E108" s="14">
        <f>data!Z62</f>
        <v>0</v>
      </c>
      <c r="F108" s="14">
        <f>data!AA62</f>
        <v>54204</v>
      </c>
      <c r="G108" s="14">
        <f>data!AB62</f>
        <v>169445</v>
      </c>
      <c r="H108" s="14">
        <f>data!AC62</f>
        <v>193284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245988</v>
      </c>
      <c r="E109" s="14">
        <f>data!Z63</f>
        <v>0</v>
      </c>
      <c r="F109" s="14">
        <f>data!AA63</f>
        <v>222333</v>
      </c>
      <c r="G109" s="14">
        <f>data!AB63</f>
        <v>112236</v>
      </c>
      <c r="H109" s="14">
        <f>data!AC63</f>
        <v>51298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19797</v>
      </c>
      <c r="D110" s="14">
        <f>data!Y64</f>
        <v>159895</v>
      </c>
      <c r="E110" s="14">
        <f>data!Z64</f>
        <v>0</v>
      </c>
      <c r="F110" s="14">
        <f>data!AA64</f>
        <v>238917</v>
      </c>
      <c r="G110" s="14">
        <f>data!AB64</f>
        <v>3289596</v>
      </c>
      <c r="H110" s="14">
        <f>data!AC64</f>
        <v>40577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960</v>
      </c>
      <c r="E111" s="14">
        <f>data!Z65</f>
        <v>0</v>
      </c>
      <c r="F111" s="14">
        <f>data!AA65</f>
        <v>0</v>
      </c>
      <c r="G111" s="14">
        <f>data!AB65</f>
        <v>24777</v>
      </c>
      <c r="H111" s="14">
        <f>data!AC65</f>
        <v>400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158195</v>
      </c>
      <c r="D112" s="14">
        <f>data!Y66</f>
        <v>281737</v>
      </c>
      <c r="E112" s="14">
        <f>data!Z66</f>
        <v>0</v>
      </c>
      <c r="F112" s="14">
        <f>data!AA66</f>
        <v>125371</v>
      </c>
      <c r="G112" s="14">
        <f>data!AB66</f>
        <v>26336</v>
      </c>
      <c r="H112" s="14">
        <f>data!AC66</f>
        <v>9137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12081</v>
      </c>
      <c r="D113" s="14">
        <f>data!Y67</f>
        <v>104935</v>
      </c>
      <c r="E113" s="14">
        <f>data!Z67</f>
        <v>0</v>
      </c>
      <c r="F113" s="14">
        <f>data!AA67</f>
        <v>7059</v>
      </c>
      <c r="G113" s="14">
        <f>data!AB67</f>
        <v>18145</v>
      </c>
      <c r="H113" s="14">
        <f>data!AC67</f>
        <v>28629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31009</v>
      </c>
      <c r="E114" s="14">
        <f>data!Z68</f>
        <v>0</v>
      </c>
      <c r="F114" s="14">
        <f>data!AA68</f>
        <v>0</v>
      </c>
      <c r="G114" s="14">
        <f>data!AB68</f>
        <v>130114</v>
      </c>
      <c r="H114" s="14">
        <f>data!AC68</f>
        <v>466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5397</v>
      </c>
      <c r="E115" s="14">
        <f>data!Z69</f>
        <v>0</v>
      </c>
      <c r="F115" s="14">
        <f>data!AA69</f>
        <v>10730</v>
      </c>
      <c r="G115" s="14">
        <f>data!AB69</f>
        <v>8211</v>
      </c>
      <c r="H115" s="14">
        <f>data!AC69</f>
        <v>1829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-260</v>
      </c>
      <c r="E116" s="14">
        <f>-data!Z70</f>
        <v>0</v>
      </c>
      <c r="F116" s="14">
        <f>-data!AA70</f>
        <v>0</v>
      </c>
      <c r="G116" s="14">
        <f>-data!AB70</f>
        <v>-5772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268899</v>
      </c>
      <c r="D117" s="14">
        <f>data!Y71</f>
        <v>2946082</v>
      </c>
      <c r="E117" s="14">
        <f>data!Z71</f>
        <v>0</v>
      </c>
      <c r="F117" s="14">
        <f>data!AA71</f>
        <v>883989</v>
      </c>
      <c r="G117" s="14">
        <f>data!AB71</f>
        <v>4477623</v>
      </c>
      <c r="H117" s="14">
        <f>data!AC71</f>
        <v>1129274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620473</v>
      </c>
      <c r="D119" s="48">
        <f>+data!M690</f>
        <v>823129</v>
      </c>
      <c r="E119" s="48">
        <f>+data!M691</f>
        <v>0</v>
      </c>
      <c r="F119" s="48">
        <f>+data!M692</f>
        <v>230832</v>
      </c>
      <c r="G119" s="48">
        <f>+data!M693</f>
        <v>1542542</v>
      </c>
      <c r="H119" s="48">
        <f>+data!M694</f>
        <v>290218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305351</v>
      </c>
      <c r="D120" s="14">
        <f>data!Y73</f>
        <v>577163</v>
      </c>
      <c r="E120" s="14">
        <f>data!Z73</f>
        <v>0</v>
      </c>
      <c r="F120" s="14">
        <f>data!AA73</f>
        <v>39265</v>
      </c>
      <c r="G120" s="14">
        <f>data!AB73</f>
        <v>3675480</v>
      </c>
      <c r="H120" s="14">
        <f>data!AC73</f>
        <v>1176056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8366211</v>
      </c>
      <c r="D121" s="14">
        <f>data!Y74</f>
        <v>9894791</v>
      </c>
      <c r="E121" s="14">
        <f>data!Z74</f>
        <v>0</v>
      </c>
      <c r="F121" s="14">
        <f>data!AA74</f>
        <v>2719752</v>
      </c>
      <c r="G121" s="14">
        <f>data!AB74</f>
        <v>14271620</v>
      </c>
      <c r="H121" s="14">
        <f>data!AC74</f>
        <v>2196899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8671562</v>
      </c>
      <c r="D122" s="14">
        <f>data!Y75</f>
        <v>10471954</v>
      </c>
      <c r="E122" s="14">
        <f>data!Z75</f>
        <v>0</v>
      </c>
      <c r="F122" s="14">
        <f>data!AA75</f>
        <v>2759017</v>
      </c>
      <c r="G122" s="14">
        <f>data!AB75</f>
        <v>17947100</v>
      </c>
      <c r="H122" s="14">
        <f>data!AC75</f>
        <v>3372955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522</v>
      </c>
      <c r="D124" s="14">
        <f>data!Y76</f>
        <v>4534</v>
      </c>
      <c r="E124" s="14">
        <f>data!Z76</f>
        <v>0</v>
      </c>
      <c r="F124" s="14">
        <f>data!AA76</f>
        <v>305</v>
      </c>
      <c r="G124" s="14">
        <f>data!AB76</f>
        <v>784</v>
      </c>
      <c r="H124" s="14">
        <f>data!AC76</f>
        <v>1237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527</v>
      </c>
      <c r="D126" s="14">
        <f>data!Y78</f>
        <v>1317</v>
      </c>
      <c r="E126" s="14">
        <f>data!Z78</f>
        <v>0</v>
      </c>
      <c r="F126" s="14">
        <f>data!AA78</f>
        <v>67</v>
      </c>
      <c r="G126" s="14">
        <f>data!AB78</f>
        <v>171</v>
      </c>
      <c r="H126" s="14">
        <f>data!AC78</f>
        <v>271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11106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Public Hospital District #1-A of Whitman County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28430</v>
      </c>
      <c r="D137" s="14">
        <f>data!AF59</f>
        <v>0</v>
      </c>
      <c r="E137" s="14">
        <f>data!AG59</f>
        <v>11108</v>
      </c>
      <c r="F137" s="14">
        <f>data!AH59</f>
        <v>0</v>
      </c>
      <c r="G137" s="14">
        <f>data!AI59</f>
        <v>0</v>
      </c>
      <c r="H137" s="14">
        <f>data!AJ59</f>
        <v>354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38.680000000000007</v>
      </c>
      <c r="D138" s="26">
        <f>data!AF60</f>
        <v>0</v>
      </c>
      <c r="E138" s="26">
        <f>data!AG60</f>
        <v>29.64</v>
      </c>
      <c r="F138" s="26">
        <f>data!AH60</f>
        <v>0</v>
      </c>
      <c r="G138" s="26">
        <f>data!AI60</f>
        <v>0</v>
      </c>
      <c r="H138" s="26">
        <f>data!AJ60</f>
        <v>0.66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3020928</v>
      </c>
      <c r="D139" s="14">
        <f>data!AF61</f>
        <v>0</v>
      </c>
      <c r="E139" s="14">
        <f>data!AG61</f>
        <v>4637550</v>
      </c>
      <c r="F139" s="14">
        <f>data!AH61</f>
        <v>0</v>
      </c>
      <c r="G139" s="14">
        <f>data!AI61</f>
        <v>0</v>
      </c>
      <c r="H139" s="14">
        <f>data!AJ61</f>
        <v>62943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726553</v>
      </c>
      <c r="D140" s="14">
        <f>data!AF62</f>
        <v>0</v>
      </c>
      <c r="E140" s="14">
        <f>data!AG62</f>
        <v>1115362</v>
      </c>
      <c r="F140" s="14">
        <f>data!AH62</f>
        <v>0</v>
      </c>
      <c r="G140" s="14">
        <f>data!AI62</f>
        <v>0</v>
      </c>
      <c r="H140" s="14">
        <f>data!AJ62</f>
        <v>15138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14417</v>
      </c>
      <c r="D141" s="14">
        <f>data!AF63</f>
        <v>0</v>
      </c>
      <c r="E141" s="14">
        <f>data!AG63</f>
        <v>38185</v>
      </c>
      <c r="F141" s="14">
        <f>data!AH63</f>
        <v>0</v>
      </c>
      <c r="G141" s="14">
        <f>data!AI63</f>
        <v>0</v>
      </c>
      <c r="H141" s="14">
        <f>data!AJ63</f>
        <v>864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64164</v>
      </c>
      <c r="D142" s="14">
        <f>data!AF64</f>
        <v>0</v>
      </c>
      <c r="E142" s="14">
        <f>data!AG64</f>
        <v>128753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30898</v>
      </c>
      <c r="D143" s="14">
        <f>data!AF65</f>
        <v>0</v>
      </c>
      <c r="E143" s="14">
        <f>data!AG65</f>
        <v>960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75773</v>
      </c>
      <c r="D144" s="14">
        <f>data!AF66</f>
        <v>0</v>
      </c>
      <c r="E144" s="14">
        <f>data!AG66</f>
        <v>22572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202186</v>
      </c>
      <c r="D145" s="14">
        <f>data!AF67</f>
        <v>0</v>
      </c>
      <c r="E145" s="14">
        <f>data!AG67</f>
        <v>148422</v>
      </c>
      <c r="F145" s="14">
        <f>data!AH67</f>
        <v>0</v>
      </c>
      <c r="G145" s="14">
        <f>data!AI67</f>
        <v>0</v>
      </c>
      <c r="H145" s="14">
        <f>data!AJ67</f>
        <v>23144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21870</v>
      </c>
      <c r="D146" s="14">
        <f>data!AF68</f>
        <v>0</v>
      </c>
      <c r="E146" s="14">
        <f>data!AG68</f>
        <v>28076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39899</v>
      </c>
      <c r="D147" s="14">
        <f>data!AF69</f>
        <v>0</v>
      </c>
      <c r="E147" s="14">
        <f>data!AG69</f>
        <v>84662</v>
      </c>
      <c r="F147" s="14">
        <f>data!AH69</f>
        <v>0</v>
      </c>
      <c r="G147" s="14">
        <f>data!AI69</f>
        <v>0</v>
      </c>
      <c r="H147" s="14">
        <f>data!AJ69</f>
        <v>370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-27632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4169056</v>
      </c>
      <c r="D149" s="14">
        <f>data!AF71</f>
        <v>0</v>
      </c>
      <c r="E149" s="14">
        <f>data!AG71</f>
        <v>6204542</v>
      </c>
      <c r="F149" s="14">
        <f>data!AH71</f>
        <v>0</v>
      </c>
      <c r="G149" s="14">
        <f>data!AI71</f>
        <v>0</v>
      </c>
      <c r="H149" s="14">
        <f>data!AJ71</f>
        <v>102459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462767</v>
      </c>
      <c r="D151" s="48">
        <f>+data!M697</f>
        <v>0</v>
      </c>
      <c r="E151" s="48">
        <f>+data!M698</f>
        <v>1329584</v>
      </c>
      <c r="F151" s="48">
        <f>+data!M699</f>
        <v>0</v>
      </c>
      <c r="G151" s="48">
        <f>+data!M700</f>
        <v>0</v>
      </c>
      <c r="H151" s="48">
        <f>+data!M701</f>
        <v>-23262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372471</v>
      </c>
      <c r="D152" s="14">
        <f>data!AF73</f>
        <v>0</v>
      </c>
      <c r="E152" s="14">
        <f>data!AG73</f>
        <v>228719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4190697</v>
      </c>
      <c r="D153" s="14">
        <f>data!AF74</f>
        <v>0</v>
      </c>
      <c r="E153" s="14">
        <f>data!AG74</f>
        <v>11767538</v>
      </c>
      <c r="F153" s="14">
        <f>data!AH74</f>
        <v>0</v>
      </c>
      <c r="G153" s="14">
        <f>data!AI74</f>
        <v>0</v>
      </c>
      <c r="H153" s="14">
        <f>data!AJ74</f>
        <v>124301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4563168</v>
      </c>
      <c r="D154" s="14">
        <f>data!AF75</f>
        <v>0</v>
      </c>
      <c r="E154" s="14">
        <f>data!AG75</f>
        <v>11996257</v>
      </c>
      <c r="F154" s="14">
        <f>data!AH75</f>
        <v>0</v>
      </c>
      <c r="G154" s="14">
        <f>data!AI75</f>
        <v>0</v>
      </c>
      <c r="H154" s="14">
        <f>data!AJ75</f>
        <v>124301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8736</v>
      </c>
      <c r="D156" s="14">
        <f>data!AF76</f>
        <v>0</v>
      </c>
      <c r="E156" s="14">
        <f>data!AG76</f>
        <v>6413</v>
      </c>
      <c r="F156" s="14">
        <f>data!AH76</f>
        <v>0</v>
      </c>
      <c r="G156" s="14">
        <f>data!AI76</f>
        <v>0</v>
      </c>
      <c r="H156" s="14">
        <f>data!AJ76</f>
        <v>1000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1721.95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2633</v>
      </c>
      <c r="D158" s="14">
        <f>data!AF78</f>
        <v>0</v>
      </c>
      <c r="E158" s="14">
        <f>data!AG78</f>
        <v>2897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54821</v>
      </c>
      <c r="D159" s="14">
        <f>data!AF79</f>
        <v>0</v>
      </c>
      <c r="E159" s="14">
        <f>data!AG79</f>
        <v>49975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14.202684615384614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Public Hospital District #1-A of Whitman County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772294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157874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8625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8000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1038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947831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65586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790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Public Hospital District #1-A of Whitman County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20824.39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</v>
      </c>
      <c r="G202" s="26">
        <f>data!AW60</f>
        <v>0</v>
      </c>
      <c r="H202" s="26">
        <f>data!AX60</f>
        <v>0</v>
      </c>
      <c r="I202" s="26">
        <f>data!AY60</f>
        <v>18.259999999999998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169098</v>
      </c>
      <c r="G203" s="14">
        <f>data!AW61</f>
        <v>0</v>
      </c>
      <c r="H203" s="14">
        <f>data!AX61</f>
        <v>0</v>
      </c>
      <c r="I203" s="14">
        <f>data!AY61</f>
        <v>818276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40669</v>
      </c>
      <c r="G204" s="14">
        <f>data!AW62</f>
        <v>0</v>
      </c>
      <c r="H204" s="14">
        <f>data!AX62</f>
        <v>0</v>
      </c>
      <c r="I204" s="14">
        <f>data!AY62</f>
        <v>196801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23765</v>
      </c>
      <c r="G205" s="14">
        <f>data!AW63</f>
        <v>0</v>
      </c>
      <c r="H205" s="14">
        <f>data!AX63</f>
        <v>0</v>
      </c>
      <c r="I205" s="14">
        <f>data!AY63</f>
        <v>780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4241</v>
      </c>
      <c r="G206" s="14">
        <f>data!AW64</f>
        <v>0</v>
      </c>
      <c r="H206" s="14">
        <f>data!AX64</f>
        <v>0</v>
      </c>
      <c r="I206" s="14">
        <f>data!AY64</f>
        <v>459988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554</v>
      </c>
      <c r="G208" s="14">
        <f>data!AW66</f>
        <v>0</v>
      </c>
      <c r="H208" s="14">
        <f>data!AX66</f>
        <v>0</v>
      </c>
      <c r="I208" s="14">
        <f>data!AY66</f>
        <v>13034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110304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3234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11311</v>
      </c>
      <c r="G211" s="14">
        <f>data!AW69</f>
        <v>0</v>
      </c>
      <c r="H211" s="14">
        <f>data!AX69</f>
        <v>0</v>
      </c>
      <c r="I211" s="14">
        <f>data!AY69</f>
        <v>4424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-374659</v>
      </c>
      <c r="G212" s="14">
        <f>-data!AW70</f>
        <v>0</v>
      </c>
      <c r="H212" s="14">
        <f>-data!AX70</f>
        <v>0</v>
      </c>
      <c r="I212" s="14">
        <f>-data!AY70</f>
        <v>-1370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-125021</v>
      </c>
      <c r="G213" s="14">
        <f>data!AW71</f>
        <v>0</v>
      </c>
      <c r="H213" s="14">
        <f>data!AX71</f>
        <v>0</v>
      </c>
      <c r="I213" s="14">
        <f>data!AY71</f>
        <v>1605471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7585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4766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Public Hospital District #1-A of Whitman County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55991.189999999995</v>
      </c>
      <c r="D233" s="14">
        <f>data!BA59</f>
        <v>0</v>
      </c>
      <c r="E233" s="212"/>
      <c r="F233" s="212"/>
      <c r="G233" s="212"/>
      <c r="H233" s="14">
        <f>data!BE59</f>
        <v>120387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0.81</v>
      </c>
      <c r="E234" s="26">
        <f>data!BB60</f>
        <v>6.14</v>
      </c>
      <c r="F234" s="26">
        <f>data!BC60</f>
        <v>0</v>
      </c>
      <c r="G234" s="26">
        <f>data!BD60</f>
        <v>6.07</v>
      </c>
      <c r="H234" s="26">
        <f>data!BE60</f>
        <v>6.63</v>
      </c>
      <c r="I234" s="26">
        <f>data!BF60</f>
        <v>12.66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36874</v>
      </c>
      <c r="E235" s="14">
        <f>data!BB61</f>
        <v>486688</v>
      </c>
      <c r="F235" s="14">
        <f>data!BC61</f>
        <v>0</v>
      </c>
      <c r="G235" s="14">
        <f>data!BD61</f>
        <v>424896</v>
      </c>
      <c r="H235" s="14">
        <f>data!BE61</f>
        <v>500981</v>
      </c>
      <c r="I235" s="14">
        <f>data!BF61</f>
        <v>561195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8868</v>
      </c>
      <c r="E236" s="14">
        <f>data!BB62</f>
        <v>117052</v>
      </c>
      <c r="F236" s="14">
        <f>data!BC62</f>
        <v>0</v>
      </c>
      <c r="G236" s="14">
        <f>data!BD62</f>
        <v>102190</v>
      </c>
      <c r="H236" s="14">
        <f>data!BE62</f>
        <v>120489</v>
      </c>
      <c r="I236" s="14">
        <f>data!BF62</f>
        <v>134971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15654</v>
      </c>
      <c r="F237" s="14">
        <f>data!BC63</f>
        <v>0</v>
      </c>
      <c r="G237" s="14">
        <f>data!BD63</f>
        <v>0</v>
      </c>
      <c r="H237" s="14">
        <f>data!BE63</f>
        <v>59392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341</v>
      </c>
      <c r="F238" s="14">
        <f>data!BC64</f>
        <v>0</v>
      </c>
      <c r="G238" s="14">
        <f>data!BD64</f>
        <v>12673</v>
      </c>
      <c r="H238" s="14">
        <f>data!BE64</f>
        <v>8906</v>
      </c>
      <c r="I238" s="14">
        <f>data!BF64</f>
        <v>44450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3320</v>
      </c>
      <c r="F239" s="14">
        <f>data!BC65</f>
        <v>0</v>
      </c>
      <c r="G239" s="14">
        <f>data!BD65</f>
        <v>907</v>
      </c>
      <c r="H239" s="14">
        <f>data!BE65</f>
        <v>480840</v>
      </c>
      <c r="I239" s="14">
        <f>data!BF65</f>
        <v>53134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183019</v>
      </c>
      <c r="E240" s="14">
        <f>data!BB66</f>
        <v>13780</v>
      </c>
      <c r="F240" s="14">
        <f>data!BC66</f>
        <v>0</v>
      </c>
      <c r="G240" s="14">
        <f>data!BD66</f>
        <v>1447</v>
      </c>
      <c r="H240" s="14">
        <f>data!BE66</f>
        <v>145462</v>
      </c>
      <c r="I240" s="14">
        <f>data!BF66</f>
        <v>2039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29948</v>
      </c>
      <c r="E241" s="14">
        <f>data!BB67</f>
        <v>3472</v>
      </c>
      <c r="F241" s="14">
        <f>data!BC67</f>
        <v>0</v>
      </c>
      <c r="G241" s="14">
        <f>data!BD67</f>
        <v>65243</v>
      </c>
      <c r="H241" s="14">
        <f>data!BE67</f>
        <v>304366</v>
      </c>
      <c r="I241" s="14">
        <f>data!BF67</f>
        <v>8679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2083</v>
      </c>
      <c r="F242" s="14">
        <f>data!BC68</f>
        <v>0</v>
      </c>
      <c r="G242" s="14">
        <f>data!BD68</f>
        <v>6739</v>
      </c>
      <c r="H242" s="14">
        <f>data!BE68</f>
        <v>9191</v>
      </c>
      <c r="I242" s="14">
        <f>data!BF68</f>
        <v>103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4614</v>
      </c>
      <c r="F243" s="14">
        <f>data!BC69</f>
        <v>0</v>
      </c>
      <c r="G243" s="14">
        <f>data!BD69</f>
        <v>2755</v>
      </c>
      <c r="H243" s="14">
        <f>data!BE69</f>
        <v>625</v>
      </c>
      <c r="I243" s="14">
        <f>data!BF69</f>
        <v>3594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-361912</v>
      </c>
      <c r="D244" s="14">
        <f>-data!BA70</f>
        <v>0</v>
      </c>
      <c r="E244" s="14">
        <f>-data!BB70</f>
        <v>-8586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-361912</v>
      </c>
      <c r="D245" s="14">
        <f>data!BA71</f>
        <v>258709</v>
      </c>
      <c r="E245" s="14">
        <f>data!BB71</f>
        <v>638418</v>
      </c>
      <c r="F245" s="14">
        <f>data!BC71</f>
        <v>0</v>
      </c>
      <c r="G245" s="14">
        <f>data!BD71</f>
        <v>616850</v>
      </c>
      <c r="H245" s="14">
        <f>data!BE71</f>
        <v>1630252</v>
      </c>
      <c r="I245" s="14">
        <f>data!BF71</f>
        <v>808165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1294</v>
      </c>
      <c r="E252" s="85">
        <f>data!BB76</f>
        <v>150</v>
      </c>
      <c r="F252" s="85">
        <f>data!BC76</f>
        <v>0</v>
      </c>
      <c r="G252" s="85">
        <f>data!BD76</f>
        <v>2819</v>
      </c>
      <c r="H252" s="85">
        <f>data!BE76</f>
        <v>13151</v>
      </c>
      <c r="I252" s="85">
        <f>data!BF76</f>
        <v>375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53997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283</v>
      </c>
      <c r="E254" s="85">
        <f>data!BB78</f>
        <v>33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Public Hospital District #1-A of Whitman County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8.01</v>
      </c>
      <c r="E266" s="26">
        <f>data!BI60</f>
        <v>4.54</v>
      </c>
      <c r="F266" s="26">
        <f>data!BJ60</f>
        <v>0</v>
      </c>
      <c r="G266" s="26">
        <f>data!BK60</f>
        <v>13.05</v>
      </c>
      <c r="H266" s="26">
        <f>data!BL60</f>
        <v>9.01</v>
      </c>
      <c r="I266" s="26">
        <f>data!BM60</f>
        <v>4.0999999999999996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581178</v>
      </c>
      <c r="E267" s="14">
        <f>data!BI61</f>
        <v>458257</v>
      </c>
      <c r="F267" s="14">
        <f>data!BJ61</f>
        <v>0</v>
      </c>
      <c r="G267" s="14">
        <f>data!BK61</f>
        <v>678711</v>
      </c>
      <c r="H267" s="14">
        <f>data!BL61</f>
        <v>451635</v>
      </c>
      <c r="I267" s="14">
        <f>data!BM61</f>
        <v>318856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139777</v>
      </c>
      <c r="E268" s="14">
        <f>data!BI62</f>
        <v>110214</v>
      </c>
      <c r="F268" s="14">
        <f>data!BJ62</f>
        <v>0</v>
      </c>
      <c r="G268" s="14">
        <f>data!BK62</f>
        <v>163235</v>
      </c>
      <c r="H268" s="14">
        <f>data!BL62</f>
        <v>108621</v>
      </c>
      <c r="I268" s="14">
        <f>data!BM62</f>
        <v>76687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50294</v>
      </c>
      <c r="F269" s="14">
        <f>data!BJ63</f>
        <v>0</v>
      </c>
      <c r="G269" s="14">
        <f>data!BK63</f>
        <v>230086</v>
      </c>
      <c r="H269" s="14">
        <f>data!BL63</f>
        <v>0</v>
      </c>
      <c r="I269" s="14">
        <f>data!BM63</f>
        <v>75320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5527</v>
      </c>
      <c r="E270" s="14">
        <f>data!BI64</f>
        <v>3145</v>
      </c>
      <c r="F270" s="14">
        <f>data!BJ64</f>
        <v>0</v>
      </c>
      <c r="G270" s="14">
        <f>data!BK64</f>
        <v>25803</v>
      </c>
      <c r="H270" s="14">
        <f>data!BL64</f>
        <v>9196</v>
      </c>
      <c r="I270" s="14">
        <f>data!BM64</f>
        <v>5066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138180</v>
      </c>
      <c r="E271" s="14">
        <f>data!BI65</f>
        <v>3758</v>
      </c>
      <c r="F271" s="14">
        <f>data!BJ65</f>
        <v>0</v>
      </c>
      <c r="G271" s="14">
        <f>data!BK65</f>
        <v>3206</v>
      </c>
      <c r="H271" s="14">
        <f>data!BL65</f>
        <v>480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999579</v>
      </c>
      <c r="E272" s="14">
        <f>data!BI66</f>
        <v>28338</v>
      </c>
      <c r="F272" s="14">
        <f>data!BJ66</f>
        <v>0</v>
      </c>
      <c r="G272" s="14">
        <f>data!BK66</f>
        <v>303385</v>
      </c>
      <c r="H272" s="14">
        <f>data!BL66</f>
        <v>704</v>
      </c>
      <c r="I272" s="14">
        <f>data!BM66</f>
        <v>24458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43210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20043</v>
      </c>
      <c r="I273" s="14">
        <f>data!BM67</f>
        <v>6365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678</v>
      </c>
      <c r="E274" s="14">
        <f>data!BI68</f>
        <v>42606</v>
      </c>
      <c r="F274" s="14">
        <f>data!BJ68</f>
        <v>0</v>
      </c>
      <c r="G274" s="14">
        <f>data!BK68</f>
        <v>54923</v>
      </c>
      <c r="H274" s="14">
        <f>data!BL68</f>
        <v>3532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4114</v>
      </c>
      <c r="E275" s="14">
        <f>data!BI69</f>
        <v>134062</v>
      </c>
      <c r="F275" s="14">
        <f>data!BJ69</f>
        <v>0</v>
      </c>
      <c r="G275" s="14">
        <f>data!BK69</f>
        <v>8418</v>
      </c>
      <c r="H275" s="14">
        <f>data!BL69</f>
        <v>0</v>
      </c>
      <c r="I275" s="14">
        <f>data!BM69</f>
        <v>41055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-19994</v>
      </c>
      <c r="E276" s="14">
        <f>-data!BI70</f>
        <v>0</v>
      </c>
      <c r="F276" s="14">
        <f>-data!BJ70</f>
        <v>0</v>
      </c>
      <c r="G276" s="14">
        <f>-data!BK70</f>
        <v>-60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1892249</v>
      </c>
      <c r="E277" s="14">
        <f>data!BI71</f>
        <v>830674</v>
      </c>
      <c r="F277" s="14">
        <f>data!BJ71</f>
        <v>0</v>
      </c>
      <c r="G277" s="14">
        <f>data!BK71</f>
        <v>1467707</v>
      </c>
      <c r="H277" s="14">
        <f>data!BL71</f>
        <v>594211</v>
      </c>
      <c r="I277" s="14">
        <f>data!BM71</f>
        <v>547807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1867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866</v>
      </c>
      <c r="I284" s="85">
        <f>data!BM76</f>
        <v>275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263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189</v>
      </c>
      <c r="I286" s="85">
        <f>data!BM78</f>
        <v>60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Public Hospital District #1-A of Whitman County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4.4700000000000006</v>
      </c>
      <c r="D298" s="26">
        <f>data!BO60</f>
        <v>1.1599999999999999</v>
      </c>
      <c r="E298" s="26">
        <f>data!BP60</f>
        <v>2.95</v>
      </c>
      <c r="F298" s="26">
        <f>data!BQ60</f>
        <v>0</v>
      </c>
      <c r="G298" s="26">
        <f>data!BR60</f>
        <v>6.2299999999999995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631058</v>
      </c>
      <c r="D299" s="14">
        <f>data!BO61</f>
        <v>80209</v>
      </c>
      <c r="E299" s="14">
        <f>data!BP61</f>
        <v>265408</v>
      </c>
      <c r="F299" s="14">
        <f>data!BQ61</f>
        <v>0</v>
      </c>
      <c r="G299" s="14">
        <f>data!BR61</f>
        <v>513309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151774</v>
      </c>
      <c r="D300" s="14">
        <f>data!BO62</f>
        <v>19291</v>
      </c>
      <c r="E300" s="14">
        <f>data!BP62</f>
        <v>63832</v>
      </c>
      <c r="F300" s="14">
        <f>data!BQ62</f>
        <v>0</v>
      </c>
      <c r="G300" s="14">
        <f>data!BR62</f>
        <v>123454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165489</v>
      </c>
      <c r="D301" s="14">
        <f>data!BO63</f>
        <v>0</v>
      </c>
      <c r="E301" s="14">
        <f>data!BP63</f>
        <v>395886</v>
      </c>
      <c r="F301" s="14">
        <f>data!BQ63</f>
        <v>0</v>
      </c>
      <c r="G301" s="14">
        <f>data!BR63</f>
        <v>71623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8161</v>
      </c>
      <c r="D302" s="14">
        <f>data!BO64</f>
        <v>43</v>
      </c>
      <c r="E302" s="14">
        <f>data!BP64</f>
        <v>5470</v>
      </c>
      <c r="F302" s="14">
        <f>data!BQ64</f>
        <v>0</v>
      </c>
      <c r="G302" s="14">
        <f>data!BR64</f>
        <v>6049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880</v>
      </c>
      <c r="D303" s="14">
        <f>data!BO65</f>
        <v>0</v>
      </c>
      <c r="E303" s="14">
        <f>data!BP65</f>
        <v>480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105627</v>
      </c>
      <c r="D304" s="14">
        <f>data!BO66</f>
        <v>0</v>
      </c>
      <c r="E304" s="14">
        <f>data!BP66</f>
        <v>43922</v>
      </c>
      <c r="F304" s="14">
        <f>data!BQ66</f>
        <v>0</v>
      </c>
      <c r="G304" s="14">
        <f>data!BR66</f>
        <v>76229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82508</v>
      </c>
      <c r="D305" s="14">
        <f>data!BO67</f>
        <v>0</v>
      </c>
      <c r="E305" s="14">
        <f>data!BP67</f>
        <v>6365</v>
      </c>
      <c r="F305" s="14">
        <f>data!BQ67</f>
        <v>0</v>
      </c>
      <c r="G305" s="14">
        <f>data!BR67</f>
        <v>6365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9940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198594</v>
      </c>
      <c r="D307" s="14">
        <f>data!BO69</f>
        <v>1719</v>
      </c>
      <c r="E307" s="14">
        <f>data!BP69</f>
        <v>18410</v>
      </c>
      <c r="F307" s="14">
        <f>data!BQ69</f>
        <v>0</v>
      </c>
      <c r="G307" s="14">
        <f>data!BR69</f>
        <v>81676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-50000</v>
      </c>
      <c r="D308" s="14">
        <f>-data!BO70</f>
        <v>0</v>
      </c>
      <c r="E308" s="14">
        <f>-data!BP70</f>
        <v>-15000</v>
      </c>
      <c r="F308" s="14">
        <f>-data!BQ70</f>
        <v>0</v>
      </c>
      <c r="G308" s="14">
        <f>-data!BR70</f>
        <v>-26475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1304031</v>
      </c>
      <c r="D309" s="14">
        <f>data!BO71</f>
        <v>101262</v>
      </c>
      <c r="E309" s="14">
        <f>data!BP71</f>
        <v>784773</v>
      </c>
      <c r="F309" s="14">
        <f>data!BQ71</f>
        <v>0</v>
      </c>
      <c r="G309" s="14">
        <f>data!BR71</f>
        <v>852230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3565</v>
      </c>
      <c r="D316" s="85">
        <f>data!BO76</f>
        <v>0</v>
      </c>
      <c r="E316" s="85">
        <f>data!BP76</f>
        <v>275</v>
      </c>
      <c r="F316" s="85">
        <f>data!BQ76</f>
        <v>0</v>
      </c>
      <c r="G316" s="85">
        <f>data!BR76</f>
        <v>275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Public Hospital District #1-A of Whitman County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3.38</v>
      </c>
      <c r="E330" s="26">
        <f>data!BW60</f>
        <v>3.41</v>
      </c>
      <c r="F330" s="26">
        <f>data!BX60</f>
        <v>2.75</v>
      </c>
      <c r="G330" s="26">
        <f>data!BY60</f>
        <v>5.19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243433</v>
      </c>
      <c r="E331" s="86">
        <f>data!BW61</f>
        <v>590163</v>
      </c>
      <c r="F331" s="86">
        <f>data!BX61</f>
        <v>209509</v>
      </c>
      <c r="G331" s="86">
        <f>data!BY61</f>
        <v>861389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58547</v>
      </c>
      <c r="E332" s="86">
        <f>data!BW62</f>
        <v>141938</v>
      </c>
      <c r="F332" s="86">
        <f>data!BX62</f>
        <v>50388</v>
      </c>
      <c r="G332" s="86">
        <f>data!BY62</f>
        <v>207170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204095</v>
      </c>
      <c r="E333" s="86">
        <f>data!BW63</f>
        <v>1193155</v>
      </c>
      <c r="F333" s="86">
        <f>data!BX63</f>
        <v>75267</v>
      </c>
      <c r="G333" s="86">
        <f>data!BY63</f>
        <v>3563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3220</v>
      </c>
      <c r="E334" s="86">
        <f>data!BW64</f>
        <v>2076</v>
      </c>
      <c r="F334" s="86">
        <f>data!BX64</f>
        <v>160</v>
      </c>
      <c r="G334" s="86">
        <f>data!BY64</f>
        <v>1184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960</v>
      </c>
      <c r="F335" s="86">
        <f>data!BX65</f>
        <v>480</v>
      </c>
      <c r="G335" s="86">
        <f>data!BY65</f>
        <v>1115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41381</v>
      </c>
      <c r="E336" s="86">
        <f>data!BW66</f>
        <v>27817</v>
      </c>
      <c r="F336" s="86">
        <f>data!BX66</f>
        <v>43840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31314</v>
      </c>
      <c r="E337" s="86">
        <f>data!BW67</f>
        <v>3472</v>
      </c>
      <c r="F337" s="86">
        <f>data!BX67</f>
        <v>3472</v>
      </c>
      <c r="G337" s="86">
        <f>data!BY67</f>
        <v>3472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8943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632</v>
      </c>
      <c r="E339" s="86">
        <f>data!BW69</f>
        <v>19405</v>
      </c>
      <c r="F339" s="86">
        <f>data!BX69</f>
        <v>8304</v>
      </c>
      <c r="G339" s="86">
        <f>data!BY69</f>
        <v>3803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-7364</v>
      </c>
      <c r="E340" s="14">
        <f>-data!BW70</f>
        <v>-247224</v>
      </c>
      <c r="F340" s="14">
        <f>-data!BX70</f>
        <v>0</v>
      </c>
      <c r="G340" s="14">
        <f>-data!BY70</f>
        <v>-32696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584201</v>
      </c>
      <c r="E341" s="14">
        <f>data!BW71</f>
        <v>1731762</v>
      </c>
      <c r="F341" s="14">
        <f>data!BX71</f>
        <v>391420</v>
      </c>
      <c r="G341" s="14">
        <f>data!BY71</f>
        <v>1049000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1353</v>
      </c>
      <c r="E348" s="85">
        <f>data!BW76</f>
        <v>150</v>
      </c>
      <c r="F348" s="85">
        <f>data!BX76</f>
        <v>150</v>
      </c>
      <c r="G348" s="85">
        <f>data!BY76</f>
        <v>150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296</v>
      </c>
      <c r="E350" s="85">
        <f>data!BW78</f>
        <v>33</v>
      </c>
      <c r="F350" s="85">
        <f>data!BX78</f>
        <v>33</v>
      </c>
      <c r="G350" s="85">
        <f>data!BY78</f>
        <v>33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1264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Public Hospital District #1-A of Whitman County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351.80000000000013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31519203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7580578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5343108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11471442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749575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3560333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584432</v>
      </c>
      <c r="E369" s="218"/>
      <c r="F369" s="219"/>
      <c r="G369" s="219"/>
      <c r="H369" s="219"/>
      <c r="I369" s="86">
        <f>data!CE67</f>
        <v>2786236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602979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1525046</v>
      </c>
      <c r="F371" s="219"/>
      <c r="G371" s="219"/>
      <c r="H371" s="219"/>
      <c r="I371" s="86">
        <f>data!CE69</f>
        <v>2354397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7166326</v>
      </c>
      <c r="F372" s="220"/>
      <c r="G372" s="220"/>
      <c r="H372" s="220"/>
      <c r="I372" s="14">
        <f>-data!CE70</f>
        <v>-8399492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584432</v>
      </c>
      <c r="E373" s="86">
        <f>data!CD71</f>
        <v>-5641280</v>
      </c>
      <c r="F373" s="219"/>
      <c r="G373" s="219"/>
      <c r="H373" s="219"/>
      <c r="I373" s="14">
        <f>data!CE71</f>
        <v>57568359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-1239883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27773854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102007209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129781063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25252</v>
      </c>
      <c r="E380" s="214"/>
      <c r="F380" s="211"/>
      <c r="G380" s="211"/>
      <c r="H380" s="211"/>
      <c r="I380" s="14">
        <f>data!CE76</f>
        <v>120387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74821.38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22274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300407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76.243200961538463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2021-06-22T18:30:52Z</cp:lastPrinted>
  <dcterms:created xsi:type="dcterms:W3CDTF">1999-06-02T22:01:56Z</dcterms:created>
  <dcterms:modified xsi:type="dcterms:W3CDTF">2021-06-25T19:48:47Z</dcterms:modified>
</cp:coreProperties>
</file>