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78A3DBD2-AF2E-4C29-A94A-65976225ED02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3" i="1" l="1"/>
  <c r="P74" i="1" l="1"/>
  <c r="E73" i="1"/>
  <c r="AV68" i="1"/>
  <c r="O69" i="1"/>
  <c r="O68" i="1"/>
  <c r="AV66" i="1"/>
  <c r="BN66" i="1"/>
  <c r="BF66" i="1"/>
  <c r="AB66" i="1"/>
  <c r="Y66" i="1"/>
  <c r="X69" i="1"/>
  <c r="X66" i="1"/>
  <c r="U66" i="1"/>
  <c r="P66" i="1"/>
  <c r="BD64" i="1"/>
  <c r="BY64" i="1"/>
  <c r="AV63" i="1"/>
  <c r="AV61" i="1"/>
  <c r="AV47" i="1"/>
  <c r="Y47" i="1"/>
  <c r="B47" i="1"/>
  <c r="B48" i="10"/>
  <c r="B47" i="10"/>
  <c r="BR47" i="1"/>
  <c r="B48" i="1"/>
  <c r="C64" i="1"/>
  <c r="C47" i="1"/>
  <c r="AV60" i="1"/>
  <c r="CA69" i="1"/>
  <c r="CA64" i="1"/>
  <c r="CA47" i="1"/>
  <c r="CA61" i="1"/>
  <c r="BY60" i="1"/>
  <c r="BY69" i="1"/>
  <c r="BY47" i="1"/>
  <c r="BY61" i="1"/>
  <c r="BY68" i="1"/>
  <c r="BY66" i="1"/>
  <c r="BX61" i="1"/>
  <c r="BX69" i="1"/>
  <c r="BX66" i="1"/>
  <c r="BX64" i="1"/>
  <c r="BW69" i="1"/>
  <c r="BW68" i="1"/>
  <c r="BW66" i="1"/>
  <c r="BW64" i="1"/>
  <c r="BW47" i="1"/>
  <c r="BW61" i="1"/>
  <c r="BV66" i="1"/>
  <c r="BV69" i="1"/>
  <c r="BV68" i="1"/>
  <c r="BV64" i="1"/>
  <c r="BV61" i="1"/>
  <c r="BR60" i="1"/>
  <c r="BR61" i="1"/>
  <c r="BR69" i="1"/>
  <c r="BR66" i="1"/>
  <c r="BR64" i="1"/>
  <c r="BP69" i="1"/>
  <c r="BP66" i="1"/>
  <c r="BP64" i="1"/>
  <c r="BP47" i="1"/>
  <c r="BP61" i="1"/>
  <c r="BN69" i="1"/>
  <c r="BN60" i="1"/>
  <c r="BN64" i="1"/>
  <c r="BN47" i="1"/>
  <c r="BN61" i="1"/>
  <c r="BN68" i="1"/>
  <c r="BL60" i="1"/>
  <c r="BL47" i="1"/>
  <c r="BL61" i="1"/>
  <c r="BL69" i="1"/>
  <c r="BL66" i="1"/>
  <c r="BL64" i="1"/>
  <c r="BK66" i="1"/>
  <c r="BJ69" i="1"/>
  <c r="BJ66" i="1"/>
  <c r="BJ64" i="1"/>
  <c r="BJ47" i="1"/>
  <c r="BJ61" i="1"/>
  <c r="BH69" i="1"/>
  <c r="BH64" i="1"/>
  <c r="BH47" i="1"/>
  <c r="BH61" i="1"/>
  <c r="BG65" i="1"/>
  <c r="BG66" i="1"/>
  <c r="BG64" i="1"/>
  <c r="BG47" i="1"/>
  <c r="BG61" i="1"/>
  <c r="BF69" i="1"/>
  <c r="BF64" i="1"/>
  <c r="BF47" i="1"/>
  <c r="BF61" i="1"/>
  <c r="BE60" i="1"/>
  <c r="BE69" i="1"/>
  <c r="BE64" i="1"/>
  <c r="BE47" i="1"/>
  <c r="BE61" i="1"/>
  <c r="BE65" i="1"/>
  <c r="BE68" i="1"/>
  <c r="BD61" i="1"/>
  <c r="BD69" i="1"/>
  <c r="BD68" i="1"/>
  <c r="BD66" i="1"/>
  <c r="BD47" i="1"/>
  <c r="BB60" i="1"/>
  <c r="BB69" i="1"/>
  <c r="BB68" i="1"/>
  <c r="BB66" i="1"/>
  <c r="BB63" i="1"/>
  <c r="BB64" i="1"/>
  <c r="BB47" i="1"/>
  <c r="BB61" i="1"/>
  <c r="AY69" i="1"/>
  <c r="AY66" i="1"/>
  <c r="AY64" i="1"/>
  <c r="AY47" i="1"/>
  <c r="AY61" i="1"/>
  <c r="AV69" i="1"/>
  <c r="AV64" i="1"/>
  <c r="AV65" i="1"/>
  <c r="AV74" i="1"/>
  <c r="AV73" i="1"/>
  <c r="AL69" i="1" l="1"/>
  <c r="AL74" i="1"/>
  <c r="AL73" i="1"/>
  <c r="AL59" i="1"/>
  <c r="AK69" i="1"/>
  <c r="AK65" i="1"/>
  <c r="AK64" i="1"/>
  <c r="AK47" i="1"/>
  <c r="AK61" i="1"/>
  <c r="AK74" i="1"/>
  <c r="AK73" i="1"/>
  <c r="AK59" i="1"/>
  <c r="AI60" i="1"/>
  <c r="AI69" i="1"/>
  <c r="AI66" i="1"/>
  <c r="AI64" i="1"/>
  <c r="AI47" i="1"/>
  <c r="AI61" i="1"/>
  <c r="AI74" i="1"/>
  <c r="AI73" i="1"/>
  <c r="AI59" i="1"/>
  <c r="AG69" i="1"/>
  <c r="AG68" i="1"/>
  <c r="AG63" i="1"/>
  <c r="AG64" i="1"/>
  <c r="AG47" i="1"/>
  <c r="AG61" i="1"/>
  <c r="AG74" i="1"/>
  <c r="AG73" i="1"/>
  <c r="AG59" i="1"/>
  <c r="AE60" i="1"/>
  <c r="AE69" i="1"/>
  <c r="AE65" i="1"/>
  <c r="AE68" i="1"/>
  <c r="AE66" i="1"/>
  <c r="AE64" i="1"/>
  <c r="AE47" i="1"/>
  <c r="AE61" i="1"/>
  <c r="AE74" i="1"/>
  <c r="AE73" i="1"/>
  <c r="AE59" i="1"/>
  <c r="AC60" i="1"/>
  <c r="AC69" i="1"/>
  <c r="AC68" i="1"/>
  <c r="AC66" i="1"/>
  <c r="AC63" i="1"/>
  <c r="AC64" i="1"/>
  <c r="AC47" i="1"/>
  <c r="AC61" i="1"/>
  <c r="AC74" i="1"/>
  <c r="AC73" i="1"/>
  <c r="AC59" i="1"/>
  <c r="AB60" i="1"/>
  <c r="AB64" i="1"/>
  <c r="AB47" i="1"/>
  <c r="AB61" i="1"/>
  <c r="AB74" i="1"/>
  <c r="AB73" i="1"/>
  <c r="AB69" i="1"/>
  <c r="AB68" i="1"/>
  <c r="AA69" i="1" l="1"/>
  <c r="AA66" i="1"/>
  <c r="AA61" i="1"/>
  <c r="AA74" i="1"/>
  <c r="AA73" i="1"/>
  <c r="Z69" i="1"/>
  <c r="Z68" i="1"/>
  <c r="Z64" i="1"/>
  <c r="Z47" i="1"/>
  <c r="Z61" i="1"/>
  <c r="Z74" i="1"/>
  <c r="Z73" i="1"/>
  <c r="Y60" i="1"/>
  <c r="Y68" i="1"/>
  <c r="Y69" i="1"/>
  <c r="Y64" i="1"/>
  <c r="Y61" i="1"/>
  <c r="Y74" i="1"/>
  <c r="Y73" i="1"/>
  <c r="Y59" i="1"/>
  <c r="Y63" i="1"/>
  <c r="U69" i="1"/>
  <c r="U64" i="1"/>
  <c r="U74" i="1"/>
  <c r="U73" i="1"/>
  <c r="U59" i="1"/>
  <c r="U47" i="1"/>
  <c r="U61" i="1"/>
  <c r="U68" i="1"/>
  <c r="S69" i="1"/>
  <c r="S64" i="1"/>
  <c r="X64" i="1"/>
  <c r="X74" i="1"/>
  <c r="X59" i="1"/>
  <c r="X60" i="1"/>
  <c r="X65" i="1"/>
  <c r="X68" i="1"/>
  <c r="X47" i="1"/>
  <c r="X61" i="1"/>
  <c r="X73" i="1"/>
  <c r="W69" i="1"/>
  <c r="R69" i="1"/>
  <c r="R68" i="1"/>
  <c r="R61" i="1"/>
  <c r="Q69" i="1"/>
  <c r="Q64" i="1"/>
  <c r="Q47" i="1"/>
  <c r="Q73" i="1"/>
  <c r="Q59" i="1"/>
  <c r="P69" i="1"/>
  <c r="P68" i="1"/>
  <c r="P63" i="1"/>
  <c r="P64" i="1"/>
  <c r="P47" i="1"/>
  <c r="P61" i="1"/>
  <c r="P59" i="1"/>
  <c r="O60" i="1"/>
  <c r="O66" i="1"/>
  <c r="O63" i="1"/>
  <c r="O64" i="1"/>
  <c r="O61" i="1"/>
  <c r="O74" i="1"/>
  <c r="O73" i="1"/>
  <c r="O59" i="1"/>
  <c r="J69" i="1"/>
  <c r="J66" i="1"/>
  <c r="J63" i="1"/>
  <c r="J64" i="1"/>
  <c r="J73" i="1"/>
  <c r="E74" i="1"/>
  <c r="E69" i="1"/>
  <c r="E68" i="1"/>
  <c r="E66" i="1"/>
  <c r="E64" i="1"/>
  <c r="E61" i="1"/>
  <c r="E59" i="1"/>
  <c r="E60" i="1"/>
  <c r="E47" i="1"/>
  <c r="C60" i="1"/>
  <c r="C59" i="1"/>
  <c r="C69" i="1"/>
  <c r="C68" i="1"/>
  <c r="C66" i="1"/>
  <c r="C63" i="1"/>
  <c r="C61" i="1"/>
  <c r="C73" i="1"/>
  <c r="AV79" i="1"/>
  <c r="AV78" i="1" l="1"/>
  <c r="AV80" i="1" l="1"/>
  <c r="C364" i="1" l="1"/>
  <c r="C359" i="1"/>
  <c r="C389" i="1"/>
  <c r="C365" i="1" l="1"/>
  <c r="C337" i="1"/>
  <c r="C312" i="1"/>
  <c r="C272" i="1"/>
  <c r="C270" i="1" l="1"/>
  <c r="C269" i="1"/>
  <c r="C228" i="1"/>
  <c r="C234" i="1"/>
  <c r="C233" i="1"/>
  <c r="C214" i="1"/>
  <c r="C213" i="1"/>
  <c r="C212" i="1"/>
  <c r="C215" i="1"/>
  <c r="C210" i="1"/>
  <c r="C201" i="1"/>
  <c r="C200" i="1" l="1"/>
  <c r="C199" i="1"/>
  <c r="C176" i="1" l="1"/>
  <c r="C175" i="1"/>
  <c r="C169" i="1"/>
  <c r="C165" i="1"/>
  <c r="C166" i="1"/>
  <c r="C172" i="1"/>
  <c r="C168" i="1"/>
  <c r="D142" i="1"/>
  <c r="D141" i="1"/>
  <c r="D140" i="1"/>
  <c r="D139" i="1"/>
  <c r="D138" i="1"/>
  <c r="B575" i="1" l="1"/>
  <c r="D612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H546" i="10"/>
  <c r="E546" i="10"/>
  <c r="D546" i="10"/>
  <c r="B546" i="10"/>
  <c r="F546" i="10" s="1"/>
  <c r="H545" i="10"/>
  <c r="E545" i="10"/>
  <c r="D545" i="10"/>
  <c r="B545" i="10"/>
  <c r="F545" i="10" s="1"/>
  <c r="E544" i="10"/>
  <c r="D544" i="10"/>
  <c r="B544" i="10"/>
  <c r="B543" i="10"/>
  <c r="B542" i="10"/>
  <c r="B541" i="10"/>
  <c r="H540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H538" i="10" s="1"/>
  <c r="E537" i="10"/>
  <c r="D537" i="10"/>
  <c r="B537" i="10"/>
  <c r="H537" i="10" s="1"/>
  <c r="E536" i="10"/>
  <c r="D536" i="10"/>
  <c r="B536" i="10"/>
  <c r="H536" i="10" s="1"/>
  <c r="E535" i="10"/>
  <c r="D535" i="10"/>
  <c r="B535" i="10"/>
  <c r="F535" i="10" s="1"/>
  <c r="E534" i="10"/>
  <c r="D534" i="10"/>
  <c r="B534" i="10"/>
  <c r="F534" i="10" s="1"/>
  <c r="E533" i="10"/>
  <c r="D533" i="10"/>
  <c r="B533" i="10"/>
  <c r="H533" i="10" s="1"/>
  <c r="E532" i="10"/>
  <c r="D532" i="10"/>
  <c r="B532" i="10"/>
  <c r="H532" i="10" s="1"/>
  <c r="E531" i="10"/>
  <c r="D531" i="10"/>
  <c r="B531" i="10"/>
  <c r="E530" i="10"/>
  <c r="D530" i="10"/>
  <c r="B530" i="10"/>
  <c r="E529" i="10"/>
  <c r="D529" i="10"/>
  <c r="B529" i="10"/>
  <c r="H529" i="10" s="1"/>
  <c r="D528" i="10"/>
  <c r="B528" i="10"/>
  <c r="H527" i="10"/>
  <c r="E527" i="10"/>
  <c r="D527" i="10"/>
  <c r="B527" i="10"/>
  <c r="F527" i="10" s="1"/>
  <c r="E526" i="10"/>
  <c r="D526" i="10"/>
  <c r="B526" i="10"/>
  <c r="F526" i="10" s="1"/>
  <c r="F525" i="10"/>
  <c r="E525" i="10"/>
  <c r="D525" i="10"/>
  <c r="B525" i="10"/>
  <c r="H525" i="10" s="1"/>
  <c r="E524" i="10"/>
  <c r="D524" i="10"/>
  <c r="B524" i="10"/>
  <c r="H523" i="10"/>
  <c r="E523" i="10"/>
  <c r="D523" i="10"/>
  <c r="B523" i="10"/>
  <c r="F523" i="10" s="1"/>
  <c r="D522" i="10"/>
  <c r="B522" i="10"/>
  <c r="F522" i="10" s="1"/>
  <c r="F521" i="10"/>
  <c r="B521" i="10"/>
  <c r="E520" i="10"/>
  <c r="D520" i="10"/>
  <c r="B520" i="10"/>
  <c r="F520" i="10" s="1"/>
  <c r="E519" i="10"/>
  <c r="D519" i="10"/>
  <c r="B519" i="10"/>
  <c r="E518" i="10"/>
  <c r="D518" i="10"/>
  <c r="B518" i="10"/>
  <c r="D517" i="10"/>
  <c r="B517" i="10"/>
  <c r="E516" i="10"/>
  <c r="D516" i="10"/>
  <c r="B516" i="10"/>
  <c r="F516" i="10" s="1"/>
  <c r="F515" i="10"/>
  <c r="E515" i="10"/>
  <c r="D515" i="10"/>
  <c r="B515" i="10"/>
  <c r="H515" i="10" s="1"/>
  <c r="E514" i="10"/>
  <c r="D514" i="10"/>
  <c r="B514" i="10"/>
  <c r="B513" i="10"/>
  <c r="F513" i="10" s="1"/>
  <c r="F512" i="10"/>
  <c r="B512" i="10"/>
  <c r="E511" i="10"/>
  <c r="D511" i="10"/>
  <c r="F511" i="10" s="1"/>
  <c r="B511" i="10"/>
  <c r="E510" i="10"/>
  <c r="D510" i="10"/>
  <c r="B510" i="10"/>
  <c r="E509" i="10"/>
  <c r="D509" i="10"/>
  <c r="B509" i="10"/>
  <c r="E508" i="10"/>
  <c r="D508" i="10"/>
  <c r="B508" i="10"/>
  <c r="F508" i="10" s="1"/>
  <c r="F507" i="10"/>
  <c r="E507" i="10"/>
  <c r="D507" i="10"/>
  <c r="B507" i="10"/>
  <c r="H507" i="10" s="1"/>
  <c r="E506" i="10"/>
  <c r="D506" i="10"/>
  <c r="B506" i="10"/>
  <c r="H506" i="10" s="1"/>
  <c r="H505" i="10"/>
  <c r="E505" i="10"/>
  <c r="D505" i="10"/>
  <c r="B505" i="10"/>
  <c r="F505" i="10" s="1"/>
  <c r="H504" i="10"/>
  <c r="E504" i="10"/>
  <c r="D504" i="10"/>
  <c r="B504" i="10"/>
  <c r="F504" i="10" s="1"/>
  <c r="E503" i="10"/>
  <c r="D503" i="10"/>
  <c r="B503" i="10"/>
  <c r="E502" i="10"/>
  <c r="D502" i="10"/>
  <c r="B502" i="10"/>
  <c r="H502" i="10" s="1"/>
  <c r="H501" i="10"/>
  <c r="E501" i="10"/>
  <c r="D501" i="10"/>
  <c r="B501" i="10"/>
  <c r="F501" i="10" s="1"/>
  <c r="H500" i="10"/>
  <c r="E500" i="10"/>
  <c r="D500" i="10"/>
  <c r="B500" i="10"/>
  <c r="F500" i="10" s="1"/>
  <c r="E499" i="10"/>
  <c r="D499" i="10"/>
  <c r="B499" i="10"/>
  <c r="H499" i="10" s="1"/>
  <c r="E498" i="10"/>
  <c r="D498" i="10"/>
  <c r="B498" i="10"/>
  <c r="H497" i="10"/>
  <c r="E497" i="10"/>
  <c r="D497" i="10"/>
  <c r="B497" i="10"/>
  <c r="F497" i="10" s="1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69" i="10"/>
  <c r="B468" i="10"/>
  <c r="B464" i="10"/>
  <c r="C459" i="10"/>
  <c r="B459" i="10"/>
  <c r="B458" i="10"/>
  <c r="B455" i="10"/>
  <c r="B453" i="10"/>
  <c r="C447" i="10"/>
  <c r="B446" i="10"/>
  <c r="C444" i="10"/>
  <c r="B444" i="10"/>
  <c r="B440" i="10"/>
  <c r="C438" i="10"/>
  <c r="B438" i="10"/>
  <c r="B437" i="10"/>
  <c r="D436" i="10"/>
  <c r="B436" i="10"/>
  <c r="B435" i="10"/>
  <c r="B434" i="10"/>
  <c r="B433" i="10"/>
  <c r="B432" i="10"/>
  <c r="C431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B417" i="10"/>
  <c r="B415" i="10"/>
  <c r="B414" i="10"/>
  <c r="A412" i="10"/>
  <c r="D390" i="10"/>
  <c r="B441" i="10" s="1"/>
  <c r="C389" i="10"/>
  <c r="B439" i="10" s="1"/>
  <c r="D372" i="10"/>
  <c r="C365" i="10"/>
  <c r="C446" i="10" s="1"/>
  <c r="C364" i="10"/>
  <c r="D361" i="10"/>
  <c r="B465" i="10" s="1"/>
  <c r="C359" i="10"/>
  <c r="B463" i="10" s="1"/>
  <c r="C337" i="10"/>
  <c r="D329" i="10"/>
  <c r="D328" i="10"/>
  <c r="D330" i="10" s="1"/>
  <c r="D319" i="10"/>
  <c r="C318" i="10"/>
  <c r="C312" i="10"/>
  <c r="D314" i="10" s="1"/>
  <c r="D339" i="10" s="1"/>
  <c r="C482" i="10" s="1"/>
  <c r="D290" i="10"/>
  <c r="D283" i="10"/>
  <c r="C272" i="10"/>
  <c r="C270" i="10"/>
  <c r="C269" i="10"/>
  <c r="D265" i="10"/>
  <c r="D260" i="10"/>
  <c r="D240" i="10"/>
  <c r="B447" i="10" s="1"/>
  <c r="D236" i="10"/>
  <c r="C234" i="10"/>
  <c r="C233" i="10"/>
  <c r="B454" i="10" s="1"/>
  <c r="D229" i="10"/>
  <c r="B445" i="10" s="1"/>
  <c r="C228" i="10"/>
  <c r="D221" i="10"/>
  <c r="D217" i="10"/>
  <c r="B217" i="10"/>
  <c r="E216" i="10"/>
  <c r="E215" i="10"/>
  <c r="C215" i="10"/>
  <c r="E214" i="10"/>
  <c r="C214" i="10"/>
  <c r="E213" i="10"/>
  <c r="C213" i="10"/>
  <c r="C217" i="10" s="1"/>
  <c r="D433" i="10" s="1"/>
  <c r="E212" i="10"/>
  <c r="C212" i="10"/>
  <c r="E211" i="10"/>
  <c r="E210" i="10"/>
  <c r="C210" i="10"/>
  <c r="E209" i="10"/>
  <c r="E217" i="10" s="1"/>
  <c r="C478" i="10" s="1"/>
  <c r="D204" i="10"/>
  <c r="B204" i="10"/>
  <c r="E203" i="10"/>
  <c r="C475" i="10" s="1"/>
  <c r="C203" i="10"/>
  <c r="E202" i="10"/>
  <c r="C474" i="10" s="1"/>
  <c r="C201" i="10"/>
  <c r="E201" i="10" s="1"/>
  <c r="E200" i="10"/>
  <c r="C200" i="10"/>
  <c r="C199" i="10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435" i="10" s="1"/>
  <c r="D177" i="10"/>
  <c r="D434" i="10" s="1"/>
  <c r="C176" i="10"/>
  <c r="C175" i="10"/>
  <c r="C172" i="10"/>
  <c r="C169" i="10"/>
  <c r="C168" i="10"/>
  <c r="C166" i="10"/>
  <c r="C165" i="10"/>
  <c r="D173" i="10" s="1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D142" i="10"/>
  <c r="E142" i="10" s="1"/>
  <c r="D464" i="10" s="1"/>
  <c r="E141" i="10"/>
  <c r="D463" i="10" s="1"/>
  <c r="D141" i="10"/>
  <c r="D140" i="10"/>
  <c r="E140" i="10" s="1"/>
  <c r="E139" i="10"/>
  <c r="C415" i="10" s="1"/>
  <c r="D139" i="10"/>
  <c r="D138" i="10"/>
  <c r="E138" i="10" s="1"/>
  <c r="C414" i="10" s="1"/>
  <c r="E127" i="10"/>
  <c r="AI80" i="10"/>
  <c r="AC80" i="10"/>
  <c r="AB80" i="10"/>
  <c r="Y80" i="10"/>
  <c r="CE80" i="10" s="1"/>
  <c r="L612" i="10" s="1"/>
  <c r="X80" i="10"/>
  <c r="CF79" i="10"/>
  <c r="AI79" i="10"/>
  <c r="AC79" i="10"/>
  <c r="Y79" i="10"/>
  <c r="O79" i="10"/>
  <c r="CE78" i="10"/>
  <c r="I612" i="10" s="1"/>
  <c r="AV78" i="10"/>
  <c r="CF77" i="10"/>
  <c r="CE77" i="10"/>
  <c r="G612" i="10" s="1"/>
  <c r="CF76" i="10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H75" i="10"/>
  <c r="AG75" i="10"/>
  <c r="AF75" i="10"/>
  <c r="AE75" i="10"/>
  <c r="AD75" i="10"/>
  <c r="AC75" i="10"/>
  <c r="AB75" i="10"/>
  <c r="AA75" i="10"/>
  <c r="Z75" i="10"/>
  <c r="Y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E75" i="10" s="1"/>
  <c r="D75" i="10"/>
  <c r="C75" i="10"/>
  <c r="AI74" i="10"/>
  <c r="AC74" i="10"/>
  <c r="AB74" i="10"/>
  <c r="Y74" i="10"/>
  <c r="X74" i="10"/>
  <c r="U74" i="10"/>
  <c r="P74" i="10"/>
  <c r="CE74" i="10" s="1"/>
  <c r="C464" i="10" s="1"/>
  <c r="AI73" i="10"/>
  <c r="AI75" i="10" s="1"/>
  <c r="AC73" i="10"/>
  <c r="AB73" i="10"/>
  <c r="Y73" i="10"/>
  <c r="X73" i="10"/>
  <c r="X75" i="10" s="1"/>
  <c r="U73" i="10"/>
  <c r="P73" i="10"/>
  <c r="CE73" i="10" s="1"/>
  <c r="C463" i="10" s="1"/>
  <c r="CD71" i="10"/>
  <c r="C575" i="10" s="1"/>
  <c r="CE70" i="10"/>
  <c r="CD69" i="10"/>
  <c r="C615" i="10" s="1"/>
  <c r="CA69" i="10"/>
  <c r="BY69" i="10"/>
  <c r="BX69" i="10"/>
  <c r="BW69" i="10"/>
  <c r="BV69" i="10"/>
  <c r="BR69" i="10"/>
  <c r="BP69" i="10"/>
  <c r="BN69" i="10"/>
  <c r="BL69" i="10"/>
  <c r="BJ69" i="10"/>
  <c r="BH69" i="10"/>
  <c r="BF69" i="10"/>
  <c r="BE69" i="10"/>
  <c r="BD69" i="10"/>
  <c r="BB69" i="10"/>
  <c r="AY69" i="10"/>
  <c r="AV69" i="10"/>
  <c r="AK69" i="10"/>
  <c r="AI69" i="10"/>
  <c r="AG69" i="10"/>
  <c r="AE69" i="10"/>
  <c r="AC69" i="10"/>
  <c r="AB69" i="10"/>
  <c r="AA69" i="10"/>
  <c r="Z69" i="10"/>
  <c r="Y69" i="10"/>
  <c r="X69" i="10"/>
  <c r="W69" i="10"/>
  <c r="U69" i="10"/>
  <c r="S69" i="10"/>
  <c r="R69" i="10"/>
  <c r="Q69" i="10"/>
  <c r="P69" i="10"/>
  <c r="O69" i="10"/>
  <c r="J69" i="10"/>
  <c r="CE69" i="10" s="1"/>
  <c r="C440" i="10" s="1"/>
  <c r="E69" i="10"/>
  <c r="C69" i="10"/>
  <c r="CE68" i="10"/>
  <c r="C434" i="10" s="1"/>
  <c r="BN68" i="10"/>
  <c r="Y68" i="10"/>
  <c r="X68" i="10"/>
  <c r="BZ67" i="10"/>
  <c r="BV67" i="10"/>
  <c r="BR67" i="10"/>
  <c r="BN67" i="10"/>
  <c r="BJ67" i="10"/>
  <c r="BF67" i="10"/>
  <c r="BB67" i="10"/>
  <c r="AX67" i="10"/>
  <c r="AT67" i="10"/>
  <c r="AP67" i="10"/>
  <c r="AL67" i="10"/>
  <c r="AH67" i="10"/>
  <c r="AD67" i="10"/>
  <c r="Z67" i="10"/>
  <c r="V67" i="10"/>
  <c r="R67" i="10"/>
  <c r="N67" i="10"/>
  <c r="J67" i="10"/>
  <c r="F67" i="10"/>
  <c r="BY66" i="10"/>
  <c r="BV66" i="10"/>
  <c r="BN66" i="10"/>
  <c r="BL66" i="10"/>
  <c r="BF66" i="10"/>
  <c r="BE66" i="10"/>
  <c r="BB66" i="10"/>
  <c r="AI66" i="10"/>
  <c r="AB66" i="10"/>
  <c r="AA66" i="10"/>
  <c r="Z66" i="10"/>
  <c r="Y66" i="10"/>
  <c r="CE66" i="10" s="1"/>
  <c r="C432" i="10" s="1"/>
  <c r="X66" i="10"/>
  <c r="U66" i="10"/>
  <c r="BE65" i="10"/>
  <c r="X65" i="10"/>
  <c r="CE65" i="10" s="1"/>
  <c r="BY64" i="10"/>
  <c r="BX64" i="10"/>
  <c r="BR64" i="10"/>
  <c r="BN64" i="10"/>
  <c r="BL64" i="10"/>
  <c r="BF64" i="10"/>
  <c r="BE64" i="10"/>
  <c r="BD64" i="10"/>
  <c r="BB64" i="10"/>
  <c r="AV64" i="10"/>
  <c r="AI64" i="10"/>
  <c r="AC64" i="10"/>
  <c r="AB64" i="10"/>
  <c r="Y64" i="10"/>
  <c r="X64" i="10"/>
  <c r="U64" i="10"/>
  <c r="C64" i="10"/>
  <c r="CE64" i="10" s="1"/>
  <c r="BX63" i="10"/>
  <c r="AV63" i="10"/>
  <c r="AG63" i="10"/>
  <c r="AC63" i="10"/>
  <c r="CE63" i="10" s="1"/>
  <c r="C429" i="10" s="1"/>
  <c r="Y63" i="10"/>
  <c r="BY61" i="10"/>
  <c r="BR61" i="10"/>
  <c r="BP61" i="10"/>
  <c r="BN61" i="10"/>
  <c r="BL61" i="10"/>
  <c r="BJ61" i="10"/>
  <c r="BH61" i="10"/>
  <c r="BG61" i="10"/>
  <c r="BF61" i="10"/>
  <c r="BE61" i="10"/>
  <c r="BD61" i="10"/>
  <c r="BB61" i="10"/>
  <c r="AY61" i="10"/>
  <c r="AK61" i="10"/>
  <c r="AI61" i="10"/>
  <c r="AG61" i="10"/>
  <c r="AE61" i="10"/>
  <c r="AC61" i="10"/>
  <c r="AB61" i="10"/>
  <c r="AA61" i="10"/>
  <c r="Z61" i="10"/>
  <c r="Y61" i="10"/>
  <c r="X61" i="10"/>
  <c r="U61" i="10"/>
  <c r="S61" i="10"/>
  <c r="R61" i="10"/>
  <c r="Q61" i="10"/>
  <c r="P61" i="10"/>
  <c r="O61" i="10"/>
  <c r="E61" i="10"/>
  <c r="C61" i="10"/>
  <c r="BY60" i="10"/>
  <c r="BR60" i="10"/>
  <c r="BN60" i="10"/>
  <c r="BL60" i="10"/>
  <c r="BE60" i="10"/>
  <c r="BB60" i="10"/>
  <c r="AI60" i="10"/>
  <c r="AC60" i="10"/>
  <c r="AB60" i="10"/>
  <c r="Y60" i="10"/>
  <c r="X60" i="10"/>
  <c r="U60" i="10"/>
  <c r="C60" i="10"/>
  <c r="AI59" i="10"/>
  <c r="E528" i="10" s="1"/>
  <c r="AC59" i="10"/>
  <c r="E522" i="10" s="1"/>
  <c r="Y59" i="10"/>
  <c r="X59" i="10"/>
  <c r="E517" i="10" s="1"/>
  <c r="U59" i="10"/>
  <c r="C59" i="10"/>
  <c r="E496" i="10" s="1"/>
  <c r="B53" i="10"/>
  <c r="CC52" i="10"/>
  <c r="CC67" i="10" s="1"/>
  <c r="CB52" i="10"/>
  <c r="CB67" i="10" s="1"/>
  <c r="CA52" i="10"/>
  <c r="CA67" i="10" s="1"/>
  <c r="BZ52" i="10"/>
  <c r="BY52" i="10"/>
  <c r="BY67" i="10" s="1"/>
  <c r="BX52" i="10"/>
  <c r="BX67" i="10" s="1"/>
  <c r="BW52" i="10"/>
  <c r="BW67" i="10" s="1"/>
  <c r="BV52" i="10"/>
  <c r="BU52" i="10"/>
  <c r="BU67" i="10" s="1"/>
  <c r="BT52" i="10"/>
  <c r="BT67" i="10" s="1"/>
  <c r="BS52" i="10"/>
  <c r="BS67" i="10" s="1"/>
  <c r="BR52" i="10"/>
  <c r="BQ52" i="10"/>
  <c r="BQ67" i="10" s="1"/>
  <c r="BP52" i="10"/>
  <c r="BP67" i="10" s="1"/>
  <c r="BO52" i="10"/>
  <c r="BO67" i="10" s="1"/>
  <c r="BN52" i="10"/>
  <c r="BM52" i="10"/>
  <c r="BM67" i="10" s="1"/>
  <c r="BL52" i="10"/>
  <c r="BL67" i="10" s="1"/>
  <c r="BK52" i="10"/>
  <c r="BK67" i="10" s="1"/>
  <c r="BJ52" i="10"/>
  <c r="BI52" i="10"/>
  <c r="BI67" i="10" s="1"/>
  <c r="BH52" i="10"/>
  <c r="BH67" i="10" s="1"/>
  <c r="BG52" i="10"/>
  <c r="BG67" i="10" s="1"/>
  <c r="BF52" i="10"/>
  <c r="BE52" i="10"/>
  <c r="BE67" i="10" s="1"/>
  <c r="BD52" i="10"/>
  <c r="BD67" i="10" s="1"/>
  <c r="BC52" i="10"/>
  <c r="BC67" i="10" s="1"/>
  <c r="BB52" i="10"/>
  <c r="BA52" i="10"/>
  <c r="BA67" i="10" s="1"/>
  <c r="AZ52" i="10"/>
  <c r="AZ67" i="10" s="1"/>
  <c r="AY52" i="10"/>
  <c r="AY67" i="10" s="1"/>
  <c r="AX52" i="10"/>
  <c r="AW52" i="10"/>
  <c r="AW67" i="10" s="1"/>
  <c r="AV52" i="10"/>
  <c r="AV67" i="10" s="1"/>
  <c r="AU52" i="10"/>
  <c r="AU67" i="10" s="1"/>
  <c r="AT52" i="10"/>
  <c r="AS52" i="10"/>
  <c r="AS67" i="10" s="1"/>
  <c r="AR52" i="10"/>
  <c r="AR67" i="10" s="1"/>
  <c r="AQ52" i="10"/>
  <c r="AQ67" i="10" s="1"/>
  <c r="AP52" i="10"/>
  <c r="AO52" i="10"/>
  <c r="AO67" i="10" s="1"/>
  <c r="AN52" i="10"/>
  <c r="AN67" i="10" s="1"/>
  <c r="AM52" i="10"/>
  <c r="AM67" i="10" s="1"/>
  <c r="AL52" i="10"/>
  <c r="AK52" i="10"/>
  <c r="AK67" i="10" s="1"/>
  <c r="AJ52" i="10"/>
  <c r="AJ67" i="10" s="1"/>
  <c r="AI52" i="10"/>
  <c r="AI67" i="10" s="1"/>
  <c r="AH52" i="10"/>
  <c r="AG52" i="10"/>
  <c r="AG67" i="10" s="1"/>
  <c r="AF52" i="10"/>
  <c r="AF67" i="10" s="1"/>
  <c r="AE52" i="10"/>
  <c r="AE67" i="10" s="1"/>
  <c r="AD52" i="10"/>
  <c r="AC52" i="10"/>
  <c r="AC67" i="10" s="1"/>
  <c r="AB52" i="10"/>
  <c r="AB67" i="10" s="1"/>
  <c r="AA52" i="10"/>
  <c r="AA67" i="10" s="1"/>
  <c r="Z52" i="10"/>
  <c r="Y52" i="10"/>
  <c r="Y67" i="10" s="1"/>
  <c r="X52" i="10"/>
  <c r="X67" i="10" s="1"/>
  <c r="W52" i="10"/>
  <c r="W67" i="10" s="1"/>
  <c r="V52" i="10"/>
  <c r="U52" i="10"/>
  <c r="U67" i="10" s="1"/>
  <c r="T52" i="10"/>
  <c r="T67" i="10" s="1"/>
  <c r="S52" i="10"/>
  <c r="S67" i="10" s="1"/>
  <c r="R52" i="10"/>
  <c r="Q52" i="10"/>
  <c r="Q67" i="10" s="1"/>
  <c r="P52" i="10"/>
  <c r="P67" i="10" s="1"/>
  <c r="O52" i="10"/>
  <c r="O67" i="10" s="1"/>
  <c r="N52" i="10"/>
  <c r="M52" i="10"/>
  <c r="M67" i="10" s="1"/>
  <c r="L52" i="10"/>
  <c r="L67" i="10" s="1"/>
  <c r="K52" i="10"/>
  <c r="K67" i="10" s="1"/>
  <c r="J52" i="10"/>
  <c r="I52" i="10"/>
  <c r="I67" i="10" s="1"/>
  <c r="H52" i="10"/>
  <c r="H67" i="10" s="1"/>
  <c r="G52" i="10"/>
  <c r="G67" i="10" s="1"/>
  <c r="F52" i="10"/>
  <c r="E52" i="10"/>
  <c r="E67" i="10" s="1"/>
  <c r="D52" i="10"/>
  <c r="D67" i="10" s="1"/>
  <c r="C52" i="10"/>
  <c r="C67" i="10" s="1"/>
  <c r="CE67" i="10" s="1"/>
  <c r="C433" i="10" s="1"/>
  <c r="CE51" i="10"/>
  <c r="BY47" i="10"/>
  <c r="BR47" i="10"/>
  <c r="BN47" i="10"/>
  <c r="BL47" i="10"/>
  <c r="BH47" i="10"/>
  <c r="BF47" i="10"/>
  <c r="BE47" i="10"/>
  <c r="BD47" i="10"/>
  <c r="BB47" i="10"/>
  <c r="AI47" i="10"/>
  <c r="AC47" i="10"/>
  <c r="AB47" i="10"/>
  <c r="Y47" i="10"/>
  <c r="X47" i="10"/>
  <c r="U47" i="10"/>
  <c r="C47" i="10"/>
  <c r="CE47" i="10" s="1"/>
  <c r="F530" i="10" l="1"/>
  <c r="F533" i="10"/>
  <c r="H534" i="10"/>
  <c r="H535" i="10"/>
  <c r="F529" i="10"/>
  <c r="K612" i="10"/>
  <c r="C465" i="10"/>
  <c r="C204" i="10"/>
  <c r="E199" i="10"/>
  <c r="C472" i="10" s="1"/>
  <c r="F612" i="10"/>
  <c r="C430" i="10"/>
  <c r="C458" i="10"/>
  <c r="CE60" i="10"/>
  <c r="H612" i="10" s="1"/>
  <c r="C439" i="10"/>
  <c r="CE79" i="10"/>
  <c r="J612" i="10" s="1"/>
  <c r="D465" i="10"/>
  <c r="E204" i="10"/>
  <c r="C476" i="10" s="1"/>
  <c r="D242" i="10"/>
  <c r="B448" i="10" s="1"/>
  <c r="C445" i="10"/>
  <c r="D367" i="10"/>
  <c r="C448" i="10" s="1"/>
  <c r="F499" i="10"/>
  <c r="F509" i="10"/>
  <c r="F517" i="10"/>
  <c r="F537" i="10"/>
  <c r="B49" i="10"/>
  <c r="CE61" i="10"/>
  <c r="C427" i="10" s="1"/>
  <c r="C473" i="10"/>
  <c r="D275" i="10"/>
  <c r="B470" i="10"/>
  <c r="D415" i="10"/>
  <c r="F503" i="10"/>
  <c r="F519" i="10"/>
  <c r="F531" i="10"/>
  <c r="CE52" i="10"/>
  <c r="D438" i="10"/>
  <c r="F498" i="10"/>
  <c r="F502" i="10"/>
  <c r="F506" i="10"/>
  <c r="F510" i="10"/>
  <c r="F514" i="10"/>
  <c r="F518" i="10"/>
  <c r="F524" i="10"/>
  <c r="F528" i="10"/>
  <c r="F532" i="10"/>
  <c r="F536" i="10"/>
  <c r="F539" i="10"/>
  <c r="F544" i="10"/>
  <c r="D368" i="10"/>
  <c r="D373" i="10" s="1"/>
  <c r="D391" i="10" s="1"/>
  <c r="D393" i="10" s="1"/>
  <c r="D396" i="10" s="1"/>
  <c r="F538" i="10"/>
  <c r="F493" i="1"/>
  <c r="D493" i="1"/>
  <c r="B493" i="1"/>
  <c r="B476" i="10" l="1"/>
  <c r="D277" i="10"/>
  <c r="D292" i="10" s="1"/>
  <c r="D341" i="10" s="1"/>
  <c r="C481" i="10" s="1"/>
  <c r="CC48" i="10"/>
  <c r="CC62" i="10" s="1"/>
  <c r="CC71" i="10" s="1"/>
  <c r="B574" i="1" s="1"/>
  <c r="BY48" i="10"/>
  <c r="BY62" i="10" s="1"/>
  <c r="BY71" i="10" s="1"/>
  <c r="B570" i="1" s="1"/>
  <c r="BU48" i="10"/>
  <c r="BU62" i="10" s="1"/>
  <c r="BU71" i="10" s="1"/>
  <c r="B566" i="1" s="1"/>
  <c r="BQ48" i="10"/>
  <c r="BQ62" i="10" s="1"/>
  <c r="BQ71" i="10" s="1"/>
  <c r="B562" i="1" s="1"/>
  <c r="BM48" i="10"/>
  <c r="BM62" i="10" s="1"/>
  <c r="BM71" i="10" s="1"/>
  <c r="B558" i="1" s="1"/>
  <c r="BI48" i="10"/>
  <c r="BI62" i="10" s="1"/>
  <c r="BI71" i="10" s="1"/>
  <c r="B554" i="1" s="1"/>
  <c r="BE48" i="10"/>
  <c r="BE62" i="10" s="1"/>
  <c r="BE71" i="10" s="1"/>
  <c r="B550" i="1" s="1"/>
  <c r="BA48" i="10"/>
  <c r="BA62" i="10" s="1"/>
  <c r="BA71" i="10" s="1"/>
  <c r="B546" i="1" s="1"/>
  <c r="AW48" i="10"/>
  <c r="AW62" i="10" s="1"/>
  <c r="AW71" i="10" s="1"/>
  <c r="B542" i="1" s="1"/>
  <c r="AS48" i="10"/>
  <c r="AS62" i="10" s="1"/>
  <c r="AS71" i="10" s="1"/>
  <c r="B538" i="1" s="1"/>
  <c r="AO48" i="10"/>
  <c r="AO62" i="10" s="1"/>
  <c r="AO71" i="10" s="1"/>
  <c r="B534" i="1" s="1"/>
  <c r="AK48" i="10"/>
  <c r="AK62" i="10" s="1"/>
  <c r="AK71" i="10" s="1"/>
  <c r="B530" i="1" s="1"/>
  <c r="AG48" i="10"/>
  <c r="AG62" i="10" s="1"/>
  <c r="AG71" i="10" s="1"/>
  <c r="B526" i="1" s="1"/>
  <c r="AC48" i="10"/>
  <c r="AC62" i="10" s="1"/>
  <c r="AC71" i="10" s="1"/>
  <c r="B522" i="1" s="1"/>
  <c r="Y48" i="10"/>
  <c r="Y62" i="10" s="1"/>
  <c r="Y71" i="10" s="1"/>
  <c r="B518" i="1" s="1"/>
  <c r="U48" i="10"/>
  <c r="U62" i="10" s="1"/>
  <c r="U71" i="10" s="1"/>
  <c r="B514" i="1" s="1"/>
  <c r="Q48" i="10"/>
  <c r="Q62" i="10" s="1"/>
  <c r="Q71" i="10" s="1"/>
  <c r="B510" i="1" s="1"/>
  <c r="M48" i="10"/>
  <c r="M62" i="10" s="1"/>
  <c r="M71" i="10" s="1"/>
  <c r="B506" i="1" s="1"/>
  <c r="I48" i="10"/>
  <c r="I62" i="10" s="1"/>
  <c r="I71" i="10" s="1"/>
  <c r="B502" i="1" s="1"/>
  <c r="CB48" i="10"/>
  <c r="CB62" i="10" s="1"/>
  <c r="CB71" i="10" s="1"/>
  <c r="B573" i="1" s="1"/>
  <c r="BX48" i="10"/>
  <c r="BX62" i="10" s="1"/>
  <c r="BX71" i="10" s="1"/>
  <c r="B569" i="1" s="1"/>
  <c r="BT48" i="10"/>
  <c r="BT62" i="10" s="1"/>
  <c r="BT71" i="10" s="1"/>
  <c r="B565" i="1" s="1"/>
  <c r="BP48" i="10"/>
  <c r="BP62" i="10" s="1"/>
  <c r="BP71" i="10" s="1"/>
  <c r="B561" i="1" s="1"/>
  <c r="BL48" i="10"/>
  <c r="BL62" i="10" s="1"/>
  <c r="BL71" i="10" s="1"/>
  <c r="B557" i="1" s="1"/>
  <c r="BH48" i="10"/>
  <c r="BH62" i="10" s="1"/>
  <c r="BH71" i="10" s="1"/>
  <c r="B553" i="1" s="1"/>
  <c r="BD48" i="10"/>
  <c r="BD62" i="10" s="1"/>
  <c r="BD71" i="10" s="1"/>
  <c r="B549" i="1" s="1"/>
  <c r="AZ48" i="10"/>
  <c r="AZ62" i="10" s="1"/>
  <c r="AZ71" i="10" s="1"/>
  <c r="B545" i="1" s="1"/>
  <c r="AV48" i="10"/>
  <c r="AV62" i="10" s="1"/>
  <c r="AV71" i="10" s="1"/>
  <c r="B541" i="1" s="1"/>
  <c r="AR48" i="10"/>
  <c r="AR62" i="10" s="1"/>
  <c r="AR71" i="10" s="1"/>
  <c r="B537" i="1" s="1"/>
  <c r="AN48" i="10"/>
  <c r="AN62" i="10" s="1"/>
  <c r="AN71" i="10" s="1"/>
  <c r="B533" i="1" s="1"/>
  <c r="AJ48" i="10"/>
  <c r="AJ62" i="10" s="1"/>
  <c r="AJ71" i="10" s="1"/>
  <c r="B529" i="1" s="1"/>
  <c r="AF48" i="10"/>
  <c r="AF62" i="10" s="1"/>
  <c r="AF71" i="10" s="1"/>
  <c r="B525" i="1" s="1"/>
  <c r="AB48" i="10"/>
  <c r="AB62" i="10" s="1"/>
  <c r="AB71" i="10" s="1"/>
  <c r="B521" i="1" s="1"/>
  <c r="X48" i="10"/>
  <c r="X62" i="10" s="1"/>
  <c r="X71" i="10" s="1"/>
  <c r="B517" i="1" s="1"/>
  <c r="T48" i="10"/>
  <c r="T62" i="10" s="1"/>
  <c r="T71" i="10" s="1"/>
  <c r="B513" i="1" s="1"/>
  <c r="P48" i="10"/>
  <c r="P62" i="10" s="1"/>
  <c r="P71" i="10" s="1"/>
  <c r="B509" i="1" s="1"/>
  <c r="L48" i="10"/>
  <c r="L62" i="10" s="1"/>
  <c r="L71" i="10" s="1"/>
  <c r="B505" i="1" s="1"/>
  <c r="BZ48" i="10"/>
  <c r="BZ62" i="10" s="1"/>
  <c r="BZ71" i="10" s="1"/>
  <c r="B571" i="1" s="1"/>
  <c r="BR48" i="10"/>
  <c r="BR62" i="10" s="1"/>
  <c r="BR71" i="10" s="1"/>
  <c r="B563" i="1" s="1"/>
  <c r="BJ48" i="10"/>
  <c r="BJ62" i="10" s="1"/>
  <c r="BJ71" i="10" s="1"/>
  <c r="B555" i="1" s="1"/>
  <c r="BB48" i="10"/>
  <c r="BB62" i="10" s="1"/>
  <c r="BB71" i="10" s="1"/>
  <c r="B547" i="1" s="1"/>
  <c r="AT48" i="10"/>
  <c r="AT62" i="10" s="1"/>
  <c r="AT71" i="10" s="1"/>
  <c r="B539" i="1" s="1"/>
  <c r="AL48" i="10"/>
  <c r="AL62" i="10" s="1"/>
  <c r="AL71" i="10" s="1"/>
  <c r="B531" i="1" s="1"/>
  <c r="AD48" i="10"/>
  <c r="AD62" i="10" s="1"/>
  <c r="AD71" i="10" s="1"/>
  <c r="B523" i="1" s="1"/>
  <c r="V48" i="10"/>
  <c r="V62" i="10" s="1"/>
  <c r="V71" i="10" s="1"/>
  <c r="B515" i="1" s="1"/>
  <c r="N48" i="10"/>
  <c r="N62" i="10" s="1"/>
  <c r="N71" i="10" s="1"/>
  <c r="B507" i="1" s="1"/>
  <c r="G48" i="10"/>
  <c r="G62" i="10" s="1"/>
  <c r="G71" i="10" s="1"/>
  <c r="B500" i="1" s="1"/>
  <c r="C48" i="10"/>
  <c r="BW48" i="10"/>
  <c r="BW62" i="10" s="1"/>
  <c r="BW71" i="10" s="1"/>
  <c r="BO48" i="10"/>
  <c r="BO62" i="10" s="1"/>
  <c r="BO71" i="10" s="1"/>
  <c r="B560" i="1" s="1"/>
  <c r="AA48" i="10"/>
  <c r="AA62" i="10" s="1"/>
  <c r="AA71" i="10" s="1"/>
  <c r="B520" i="1" s="1"/>
  <c r="AP48" i="10"/>
  <c r="AP62" i="10" s="1"/>
  <c r="AP71" i="10" s="1"/>
  <c r="B535" i="1" s="1"/>
  <c r="R48" i="10"/>
  <c r="R62" i="10" s="1"/>
  <c r="R71" i="10" s="1"/>
  <c r="B511" i="1" s="1"/>
  <c r="E48" i="10"/>
  <c r="E62" i="10" s="1"/>
  <c r="E71" i="10" s="1"/>
  <c r="B498" i="1" s="1"/>
  <c r="AE48" i="10"/>
  <c r="AE62" i="10" s="1"/>
  <c r="AE71" i="10" s="1"/>
  <c r="B524" i="1" s="1"/>
  <c r="D48" i="10"/>
  <c r="D62" i="10" s="1"/>
  <c r="D71" i="10" s="1"/>
  <c r="B497" i="1" s="1"/>
  <c r="BG48" i="10"/>
  <c r="BG62" i="10" s="1"/>
  <c r="BG71" i="10" s="1"/>
  <c r="AY48" i="10"/>
  <c r="AY62" i="10" s="1"/>
  <c r="AY71" i="10" s="1"/>
  <c r="B544" i="1" s="1"/>
  <c r="AQ48" i="10"/>
  <c r="AQ62" i="10" s="1"/>
  <c r="AQ71" i="10" s="1"/>
  <c r="B536" i="1" s="1"/>
  <c r="AI48" i="10"/>
  <c r="AI62" i="10" s="1"/>
  <c r="AI71" i="10" s="1"/>
  <c r="B528" i="1" s="1"/>
  <c r="S48" i="10"/>
  <c r="S62" i="10" s="1"/>
  <c r="S71" i="10" s="1"/>
  <c r="B512" i="1" s="1"/>
  <c r="K48" i="10"/>
  <c r="K62" i="10" s="1"/>
  <c r="K71" i="10" s="1"/>
  <c r="B504" i="1" s="1"/>
  <c r="F48" i="10"/>
  <c r="F62" i="10" s="1"/>
  <c r="F71" i="10" s="1"/>
  <c r="B499" i="1" s="1"/>
  <c r="BV48" i="10"/>
  <c r="BV62" i="10" s="1"/>
  <c r="BV71" i="10" s="1"/>
  <c r="B567" i="1" s="1"/>
  <c r="BN48" i="10"/>
  <c r="BN62" i="10" s="1"/>
  <c r="BN71" i="10" s="1"/>
  <c r="AX48" i="10"/>
  <c r="AX62" i="10" s="1"/>
  <c r="AX71" i="10" s="1"/>
  <c r="B543" i="1" s="1"/>
  <c r="Z48" i="10"/>
  <c r="Z62" i="10" s="1"/>
  <c r="Z71" i="10" s="1"/>
  <c r="B519" i="1" s="1"/>
  <c r="BS48" i="10"/>
  <c r="BS62" i="10" s="1"/>
  <c r="BS71" i="10" s="1"/>
  <c r="B564" i="1" s="1"/>
  <c r="BC48" i="10"/>
  <c r="BC62" i="10" s="1"/>
  <c r="BC71" i="10" s="1"/>
  <c r="B548" i="1" s="1"/>
  <c r="AM48" i="10"/>
  <c r="AM62" i="10" s="1"/>
  <c r="AM71" i="10" s="1"/>
  <c r="B532" i="1" s="1"/>
  <c r="O48" i="10"/>
  <c r="O62" i="10" s="1"/>
  <c r="O71" i="10" s="1"/>
  <c r="B508" i="1" s="1"/>
  <c r="BF48" i="10"/>
  <c r="BF62" i="10" s="1"/>
  <c r="BF71" i="10" s="1"/>
  <c r="B551" i="1" s="1"/>
  <c r="AH48" i="10"/>
  <c r="AH62" i="10" s="1"/>
  <c r="AH71" i="10" s="1"/>
  <c r="B527" i="1" s="1"/>
  <c r="J48" i="10"/>
  <c r="J62" i="10" s="1"/>
  <c r="J71" i="10" s="1"/>
  <c r="B503" i="1" s="1"/>
  <c r="CA48" i="10"/>
  <c r="CA62" i="10" s="1"/>
  <c r="CA71" i="10" s="1"/>
  <c r="B572" i="1" s="1"/>
  <c r="BK48" i="10"/>
  <c r="BK62" i="10" s="1"/>
  <c r="BK71" i="10" s="1"/>
  <c r="B556" i="1" s="1"/>
  <c r="AU48" i="10"/>
  <c r="AU62" i="10" s="1"/>
  <c r="AU71" i="10" s="1"/>
  <c r="B540" i="1" s="1"/>
  <c r="W48" i="10"/>
  <c r="W62" i="10" s="1"/>
  <c r="W71" i="10" s="1"/>
  <c r="B516" i="1" s="1"/>
  <c r="H48" i="10"/>
  <c r="H62" i="10" s="1"/>
  <c r="H71" i="10" s="1"/>
  <c r="B501" i="1" s="1"/>
  <c r="O816" i="10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57" i="10"/>
  <c r="E769" i="10"/>
  <c r="E801" i="10"/>
  <c r="E761" i="10"/>
  <c r="D815" i="10"/>
  <c r="E765" i="10"/>
  <c r="E797" i="10"/>
  <c r="E787" i="10"/>
  <c r="E734" i="10"/>
  <c r="BI729" i="10"/>
  <c r="R815" i="10"/>
  <c r="A493" i="1"/>
  <c r="A730" i="1"/>
  <c r="A726" i="1"/>
  <c r="A722" i="1"/>
  <c r="C115" i="8"/>
  <c r="CB730" i="1"/>
  <c r="C444" i="1"/>
  <c r="D367" i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D816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N769" i="1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C33" i="8" s="1"/>
  <c r="D277" i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F12" i="6" s="1"/>
  <c r="E201" i="1"/>
  <c r="F13" i="6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N743" i="1"/>
  <c r="N758" i="1"/>
  <c r="N753" i="1"/>
  <c r="N747" i="1"/>
  <c r="C469" i="1"/>
  <c r="F8" i="6"/>
  <c r="I26" i="9"/>
  <c r="N740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CD71" i="1"/>
  <c r="R816" i="1"/>
  <c r="N765" i="1"/>
  <c r="N757" i="1"/>
  <c r="C615" i="1"/>
  <c r="B440" i="1"/>
  <c r="V815" i="1"/>
  <c r="E372" i="9"/>
  <c r="B10" i="4"/>
  <c r="G10" i="4"/>
  <c r="F10" i="4"/>
  <c r="P816" i="1" l="1"/>
  <c r="E738" i="10"/>
  <c r="M738" i="10"/>
  <c r="M743" i="10"/>
  <c r="M747" i="10"/>
  <c r="M753" i="10"/>
  <c r="M761" i="10"/>
  <c r="M765" i="10"/>
  <c r="M774" i="10"/>
  <c r="M798" i="10"/>
  <c r="E735" i="10"/>
  <c r="M737" i="10"/>
  <c r="M746" i="10"/>
  <c r="M756" i="10"/>
  <c r="M770" i="10"/>
  <c r="M791" i="10"/>
  <c r="M750" i="10"/>
  <c r="M769" i="10"/>
  <c r="M754" i="10"/>
  <c r="M775" i="10"/>
  <c r="M736" i="10"/>
  <c r="M793" i="10"/>
  <c r="M800" i="10"/>
  <c r="E773" i="10"/>
  <c r="E793" i="10"/>
  <c r="M745" i="10"/>
  <c r="M773" i="10"/>
  <c r="M778" i="10"/>
  <c r="M804" i="10"/>
  <c r="E736" i="10"/>
  <c r="E781" i="10"/>
  <c r="E809" i="10"/>
  <c r="M744" i="10"/>
  <c r="M757" i="10"/>
  <c r="M772" i="10"/>
  <c r="M782" i="10"/>
  <c r="M792" i="10"/>
  <c r="M809" i="10"/>
  <c r="M805" i="10"/>
  <c r="B568" i="1"/>
  <c r="M751" i="10"/>
  <c r="M771" i="10"/>
  <c r="M799" i="10"/>
  <c r="M803" i="10"/>
  <c r="M802" i="10"/>
  <c r="M789" i="10"/>
  <c r="B552" i="1"/>
  <c r="M755" i="10"/>
  <c r="M781" i="10"/>
  <c r="M796" i="10"/>
  <c r="B559" i="1"/>
  <c r="C434" i="1"/>
  <c r="C186" i="9"/>
  <c r="N768" i="1"/>
  <c r="N766" i="1"/>
  <c r="N760" i="1"/>
  <c r="G122" i="9"/>
  <c r="I372" i="9"/>
  <c r="M816" i="1"/>
  <c r="K816" i="1"/>
  <c r="F815" i="1"/>
  <c r="L48" i="1"/>
  <c r="L62" i="1" s="1"/>
  <c r="E743" i="1" s="1"/>
  <c r="D815" i="1"/>
  <c r="BA48" i="1"/>
  <c r="BA62" i="1" s="1"/>
  <c r="F48" i="1"/>
  <c r="F62" i="1" s="1"/>
  <c r="F12" i="9" s="1"/>
  <c r="H58" i="9"/>
  <c r="C430" i="1"/>
  <c r="I366" i="9"/>
  <c r="AD48" i="1"/>
  <c r="AD62" i="1" s="1"/>
  <c r="AP48" i="1"/>
  <c r="AP62" i="1" s="1"/>
  <c r="G172" i="9" s="1"/>
  <c r="AZ48" i="1"/>
  <c r="AZ62" i="1" s="1"/>
  <c r="C236" i="9" s="1"/>
  <c r="AI48" i="1"/>
  <c r="AI62" i="1" s="1"/>
  <c r="E766" i="1" s="1"/>
  <c r="BJ48" i="1"/>
  <c r="BJ62" i="1" s="1"/>
  <c r="E793" i="1" s="1"/>
  <c r="CC48" i="1"/>
  <c r="CC62" i="1" s="1"/>
  <c r="E812" i="1" s="1"/>
  <c r="BT48" i="1"/>
  <c r="BT62" i="1" s="1"/>
  <c r="E803" i="1" s="1"/>
  <c r="BE48" i="1"/>
  <c r="BE62" i="1" s="1"/>
  <c r="H236" i="9" s="1"/>
  <c r="G816" i="1"/>
  <c r="J48" i="1"/>
  <c r="J62" i="1" s="1"/>
  <c r="AF48" i="1"/>
  <c r="AF62" i="1" s="1"/>
  <c r="E763" i="1" s="1"/>
  <c r="BB48" i="1"/>
  <c r="BB62" i="1" s="1"/>
  <c r="E785" i="1" s="1"/>
  <c r="BV48" i="1"/>
  <c r="BV62" i="1" s="1"/>
  <c r="D332" i="9" s="1"/>
  <c r="I48" i="1"/>
  <c r="I62" i="1" s="1"/>
  <c r="BM48" i="1"/>
  <c r="BM62" i="1" s="1"/>
  <c r="BQ48" i="1"/>
  <c r="BQ62" i="1" s="1"/>
  <c r="AE48" i="1"/>
  <c r="AE62" i="1" s="1"/>
  <c r="X48" i="1"/>
  <c r="X62" i="1" s="1"/>
  <c r="N48" i="1"/>
  <c r="N62" i="1" s="1"/>
  <c r="AH48" i="1"/>
  <c r="AH62" i="1" s="1"/>
  <c r="E765" i="1" s="1"/>
  <c r="AR48" i="1"/>
  <c r="AR62" i="1" s="1"/>
  <c r="BD48" i="1"/>
  <c r="BD62" i="1" s="1"/>
  <c r="BL48" i="1"/>
  <c r="BL62" i="1" s="1"/>
  <c r="BX48" i="1"/>
  <c r="BX62" i="1" s="1"/>
  <c r="AY48" i="1"/>
  <c r="AY62" i="1" s="1"/>
  <c r="E782" i="1" s="1"/>
  <c r="Q48" i="1"/>
  <c r="Q62" i="1" s="1"/>
  <c r="BU48" i="1"/>
  <c r="BU62" i="1" s="1"/>
  <c r="BS48" i="1"/>
  <c r="BS62" i="1" s="1"/>
  <c r="AB48" i="1"/>
  <c r="AB62" i="1" s="1"/>
  <c r="G108" i="9" s="1"/>
  <c r="AS48" i="1"/>
  <c r="AS62" i="1" s="1"/>
  <c r="R48" i="1"/>
  <c r="R62" i="1" s="1"/>
  <c r="E749" i="1" s="1"/>
  <c r="AJ48" i="1"/>
  <c r="AJ62" i="1" s="1"/>
  <c r="E767" i="1" s="1"/>
  <c r="AT48" i="1"/>
  <c r="AT62" i="1" s="1"/>
  <c r="D204" i="9" s="1"/>
  <c r="BF48" i="1"/>
  <c r="BF62" i="1" s="1"/>
  <c r="E789" i="1" s="1"/>
  <c r="BN48" i="1"/>
  <c r="BN62" i="1" s="1"/>
  <c r="C300" i="9" s="1"/>
  <c r="BY48" i="1"/>
  <c r="BY62" i="1" s="1"/>
  <c r="G332" i="9" s="1"/>
  <c r="BG48" i="1"/>
  <c r="BG62" i="1" s="1"/>
  <c r="AG48" i="1"/>
  <c r="AG62" i="1" s="1"/>
  <c r="E140" i="9" s="1"/>
  <c r="E48" i="1"/>
  <c r="E62" i="1" s="1"/>
  <c r="E12" i="9" s="1"/>
  <c r="AU48" i="1"/>
  <c r="AU62" i="1" s="1"/>
  <c r="W48" i="1"/>
  <c r="W62" i="1" s="1"/>
  <c r="I76" i="9" s="1"/>
  <c r="V48" i="1"/>
  <c r="V62" i="1" s="1"/>
  <c r="AL48" i="1"/>
  <c r="AL62" i="1" s="1"/>
  <c r="C172" i="9" s="1"/>
  <c r="AV48" i="1"/>
  <c r="AV62" i="1" s="1"/>
  <c r="E779" i="1" s="1"/>
  <c r="BP48" i="1"/>
  <c r="BP62" i="1" s="1"/>
  <c r="E300" i="9" s="1"/>
  <c r="CA48" i="1"/>
  <c r="CA62" i="1" s="1"/>
  <c r="I332" i="9" s="1"/>
  <c r="C48" i="1"/>
  <c r="C62" i="1" s="1"/>
  <c r="E734" i="1" s="1"/>
  <c r="K48" i="1"/>
  <c r="K62" i="1" s="1"/>
  <c r="BO48" i="1"/>
  <c r="BO62" i="1" s="1"/>
  <c r="D300" i="9" s="1"/>
  <c r="AO48" i="1"/>
  <c r="AO62" i="1" s="1"/>
  <c r="U48" i="1"/>
  <c r="U62" i="1" s="1"/>
  <c r="BI48" i="1"/>
  <c r="BI62" i="1" s="1"/>
  <c r="E792" i="1" s="1"/>
  <c r="G48" i="1"/>
  <c r="G62" i="1" s="1"/>
  <c r="G12" i="9" s="1"/>
  <c r="Z48" i="1"/>
  <c r="Z62" i="1" s="1"/>
  <c r="AN48" i="1"/>
  <c r="AN62" i="1" s="1"/>
  <c r="E172" i="9" s="1"/>
  <c r="AX48" i="1"/>
  <c r="AX62" i="1" s="1"/>
  <c r="BH48" i="1"/>
  <c r="BH62" i="1" s="1"/>
  <c r="E791" i="1" s="1"/>
  <c r="BR48" i="1"/>
  <c r="BR62" i="1" s="1"/>
  <c r="E801" i="1" s="1"/>
  <c r="AA48" i="1"/>
  <c r="AA62" i="1" s="1"/>
  <c r="F108" i="9" s="1"/>
  <c r="BW48" i="1"/>
  <c r="BW62" i="1" s="1"/>
  <c r="E332" i="9" s="1"/>
  <c r="AW48" i="1"/>
  <c r="AW62" i="1" s="1"/>
  <c r="G204" i="9" s="1"/>
  <c r="AK48" i="1"/>
  <c r="AK62" i="1" s="1"/>
  <c r="E768" i="1" s="1"/>
  <c r="O48" i="1"/>
  <c r="O62" i="1" s="1"/>
  <c r="E746" i="1" s="1"/>
  <c r="D48" i="1"/>
  <c r="D62" i="1" s="1"/>
  <c r="D12" i="9" s="1"/>
  <c r="C464" i="1"/>
  <c r="CF77" i="1"/>
  <c r="I381" i="9"/>
  <c r="G612" i="1"/>
  <c r="C141" i="8"/>
  <c r="B476" i="1"/>
  <c r="C473" i="1"/>
  <c r="D435" i="1"/>
  <c r="P814" i="10"/>
  <c r="C699" i="10"/>
  <c r="C527" i="10"/>
  <c r="G527" i="10" s="1"/>
  <c r="C684" i="10"/>
  <c r="C512" i="10"/>
  <c r="C683" i="10"/>
  <c r="C511" i="10"/>
  <c r="C547" i="10"/>
  <c r="C632" i="10"/>
  <c r="C553" i="10"/>
  <c r="C636" i="10"/>
  <c r="C698" i="10"/>
  <c r="C526" i="10"/>
  <c r="C574" i="10"/>
  <c r="C620" i="10"/>
  <c r="E805" i="10"/>
  <c r="M748" i="10"/>
  <c r="M749" i="10"/>
  <c r="M763" i="10"/>
  <c r="M784" i="10"/>
  <c r="C635" i="10"/>
  <c r="C556" i="10"/>
  <c r="C551" i="10"/>
  <c r="C629" i="10"/>
  <c r="C639" i="10"/>
  <c r="C564" i="10"/>
  <c r="C567" i="10"/>
  <c r="C642" i="10"/>
  <c r="C700" i="10"/>
  <c r="C528" i="10"/>
  <c r="C669" i="10"/>
  <c r="C497" i="10"/>
  <c r="G497" i="10" s="1"/>
  <c r="C707" i="10"/>
  <c r="C535" i="10"/>
  <c r="G535" i="10" s="1"/>
  <c r="CE48" i="10"/>
  <c r="C62" i="10"/>
  <c r="C695" i="10"/>
  <c r="C523" i="10"/>
  <c r="G523" i="10" s="1"/>
  <c r="C555" i="10"/>
  <c r="C617" i="10"/>
  <c r="C681" i="10"/>
  <c r="C509" i="10"/>
  <c r="C697" i="10"/>
  <c r="C525" i="10"/>
  <c r="G525" i="10" s="1"/>
  <c r="C713" i="10"/>
  <c r="C541" i="10"/>
  <c r="C557" i="10"/>
  <c r="C637" i="10"/>
  <c r="C573" i="10"/>
  <c r="C622" i="10"/>
  <c r="C686" i="10"/>
  <c r="C514" i="10"/>
  <c r="C702" i="10"/>
  <c r="C530" i="10"/>
  <c r="C546" i="10"/>
  <c r="G546" i="10" s="1"/>
  <c r="C630" i="10"/>
  <c r="C623" i="10"/>
  <c r="C562" i="10"/>
  <c r="C633" i="10"/>
  <c r="C548" i="10"/>
  <c r="C552" i="10"/>
  <c r="C618" i="10"/>
  <c r="C687" i="10"/>
  <c r="C515" i="10"/>
  <c r="G515" i="10" s="1"/>
  <c r="C693" i="10"/>
  <c r="C521" i="10"/>
  <c r="C682" i="10"/>
  <c r="C510" i="10"/>
  <c r="C631" i="10"/>
  <c r="C542" i="10"/>
  <c r="E777" i="10"/>
  <c r="M764" i="10"/>
  <c r="C673" i="10"/>
  <c r="C501" i="10"/>
  <c r="G501" i="10" s="1"/>
  <c r="C647" i="10"/>
  <c r="C572" i="10"/>
  <c r="C680" i="10"/>
  <c r="C508" i="10"/>
  <c r="C691" i="10"/>
  <c r="C519" i="10"/>
  <c r="C671" i="10"/>
  <c r="C499" i="10"/>
  <c r="G499" i="10" s="1"/>
  <c r="C708" i="10"/>
  <c r="C536" i="10"/>
  <c r="G536" i="10" s="1"/>
  <c r="C696" i="10"/>
  <c r="C524" i="10"/>
  <c r="C692" i="10"/>
  <c r="C520" i="10"/>
  <c r="C672" i="10"/>
  <c r="C500" i="10"/>
  <c r="G500" i="10" s="1"/>
  <c r="C703" i="10"/>
  <c r="C531" i="10"/>
  <c r="C563" i="10"/>
  <c r="C626" i="10"/>
  <c r="C685" i="10"/>
  <c r="C513" i="10"/>
  <c r="C701" i="10"/>
  <c r="C529" i="10"/>
  <c r="G529" i="10" s="1"/>
  <c r="C545" i="10"/>
  <c r="G545" i="10" s="1"/>
  <c r="C628" i="10"/>
  <c r="C561" i="10"/>
  <c r="C621" i="10"/>
  <c r="C674" i="10"/>
  <c r="C502" i="10"/>
  <c r="G502" i="10" s="1"/>
  <c r="C690" i="10"/>
  <c r="C518" i="10"/>
  <c r="C706" i="10"/>
  <c r="C534" i="10"/>
  <c r="G534" i="10" s="1"/>
  <c r="C614" i="10"/>
  <c r="C550" i="10"/>
  <c r="C641" i="10"/>
  <c r="C566" i="10"/>
  <c r="C712" i="10"/>
  <c r="C540" i="10"/>
  <c r="G540" i="10" s="1"/>
  <c r="C559" i="10"/>
  <c r="C619" i="10"/>
  <c r="C568" i="10"/>
  <c r="C643" i="10"/>
  <c r="C677" i="10"/>
  <c r="C505" i="10"/>
  <c r="G505" i="10" s="1"/>
  <c r="C709" i="10"/>
  <c r="C537" i="10"/>
  <c r="G537" i="10" s="1"/>
  <c r="C569" i="10"/>
  <c r="C644" i="10"/>
  <c r="C638" i="10"/>
  <c r="C558" i="10"/>
  <c r="E748" i="10"/>
  <c r="E742" i="10"/>
  <c r="E789" i="10"/>
  <c r="E785" i="10"/>
  <c r="F814" i="10"/>
  <c r="M742" i="10"/>
  <c r="M752" i="10"/>
  <c r="M777" i="10"/>
  <c r="M779" i="10"/>
  <c r="M795" i="10"/>
  <c r="M811" i="10"/>
  <c r="C688" i="10"/>
  <c r="C516" i="10"/>
  <c r="C675" i="10"/>
  <c r="C503" i="10"/>
  <c r="C704" i="10"/>
  <c r="C532" i="10"/>
  <c r="G532" i="10" s="1"/>
  <c r="C543" i="10"/>
  <c r="C616" i="10"/>
  <c r="C676" i="10"/>
  <c r="C504" i="10"/>
  <c r="G504" i="10" s="1"/>
  <c r="C625" i="10"/>
  <c r="C544" i="10"/>
  <c r="C670" i="10"/>
  <c r="C498" i="10"/>
  <c r="C627" i="10"/>
  <c r="C560" i="10"/>
  <c r="C679" i="10"/>
  <c r="C507" i="10"/>
  <c r="G507" i="10" s="1"/>
  <c r="C711" i="10"/>
  <c r="C539" i="10"/>
  <c r="G539" i="10" s="1"/>
  <c r="C571" i="10"/>
  <c r="C646" i="10"/>
  <c r="C689" i="10"/>
  <c r="C517" i="10"/>
  <c r="C705" i="10"/>
  <c r="C533" i="10"/>
  <c r="G533" i="10" s="1"/>
  <c r="C549" i="10"/>
  <c r="C624" i="10"/>
  <c r="C565" i="10"/>
  <c r="C640" i="10"/>
  <c r="C506" i="10"/>
  <c r="G506" i="10" s="1"/>
  <c r="C678" i="10"/>
  <c r="C694" i="10"/>
  <c r="C522" i="10"/>
  <c r="C710" i="10"/>
  <c r="C538" i="10"/>
  <c r="G538" i="10" s="1"/>
  <c r="C634" i="10"/>
  <c r="C554" i="10"/>
  <c r="C645" i="10"/>
  <c r="C570" i="10"/>
  <c r="E373" i="9"/>
  <c r="C575" i="1"/>
  <c r="E752" i="10"/>
  <c r="C14" i="5"/>
  <c r="D428" i="1"/>
  <c r="D612" i="1"/>
  <c r="AN52" i="1"/>
  <c r="AN67" i="1" s="1"/>
  <c r="J771" i="1" s="1"/>
  <c r="CF76" i="1"/>
  <c r="V52" i="1" s="1"/>
  <c r="V67" i="1" s="1"/>
  <c r="J753" i="1" s="1"/>
  <c r="AB52" i="1"/>
  <c r="AB67" i="1" s="1"/>
  <c r="G113" i="9" s="1"/>
  <c r="AJ52" i="1"/>
  <c r="AJ67" i="1" s="1"/>
  <c r="J52" i="1"/>
  <c r="J67" i="1" s="1"/>
  <c r="C49" i="9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BD52" i="1"/>
  <c r="BD67" i="1" s="1"/>
  <c r="BF52" i="1"/>
  <c r="BF67" i="1" s="1"/>
  <c r="BQ52" i="1"/>
  <c r="BQ67" i="1" s="1"/>
  <c r="BY52" i="1"/>
  <c r="BY67" i="1" s="1"/>
  <c r="AY52" i="1"/>
  <c r="AY67" i="1" s="1"/>
  <c r="CB52" i="1"/>
  <c r="CB67" i="1" s="1"/>
  <c r="AW52" i="1"/>
  <c r="AW67" i="1" s="1"/>
  <c r="BN52" i="1"/>
  <c r="BN67" i="1" s="1"/>
  <c r="M52" i="1"/>
  <c r="M67" i="1" s="1"/>
  <c r="BV52" i="1"/>
  <c r="BV67" i="1" s="1"/>
  <c r="D52" i="1"/>
  <c r="D67" i="1" s="1"/>
  <c r="BE52" i="1"/>
  <c r="BE67" i="1" s="1"/>
  <c r="AX52" i="1"/>
  <c r="AX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H52" i="1" l="1"/>
  <c r="H67" i="1" s="1"/>
  <c r="H71" i="1" s="1"/>
  <c r="C501" i="1" s="1"/>
  <c r="G501" i="1" s="1"/>
  <c r="J71" i="1"/>
  <c r="C675" i="1" s="1"/>
  <c r="BP52" i="1"/>
  <c r="BP67" i="1" s="1"/>
  <c r="P52" i="1"/>
  <c r="P67" i="1" s="1"/>
  <c r="P71" i="1" s="1"/>
  <c r="G52" i="1"/>
  <c r="G67" i="1" s="1"/>
  <c r="AK52" i="1"/>
  <c r="AK67" i="1" s="1"/>
  <c r="BM52" i="1"/>
  <c r="BM67" i="1" s="1"/>
  <c r="I273" i="9" s="1"/>
  <c r="AM52" i="1"/>
  <c r="AM67" i="1" s="1"/>
  <c r="BX52" i="1"/>
  <c r="BX67" i="1" s="1"/>
  <c r="F337" i="9" s="1"/>
  <c r="BO52" i="1"/>
  <c r="BO67" i="1" s="1"/>
  <c r="BO71" i="1" s="1"/>
  <c r="D309" i="9" s="1"/>
  <c r="AA52" i="1"/>
  <c r="AA67" i="1" s="1"/>
  <c r="T52" i="1"/>
  <c r="T67" i="1" s="1"/>
  <c r="F52" i="1"/>
  <c r="F67" i="1" s="1"/>
  <c r="F71" i="1" s="1"/>
  <c r="F21" i="9" s="1"/>
  <c r="AF52" i="1"/>
  <c r="AF67" i="1" s="1"/>
  <c r="AH52" i="1"/>
  <c r="AH67" i="1" s="1"/>
  <c r="F145" i="9" s="1"/>
  <c r="V71" i="1"/>
  <c r="C687" i="1" s="1"/>
  <c r="BT52" i="1"/>
  <c r="BT67" i="1" s="1"/>
  <c r="BD71" i="1"/>
  <c r="C549" i="1" s="1"/>
  <c r="AG52" i="1"/>
  <c r="AG67" i="1" s="1"/>
  <c r="AG71" i="1" s="1"/>
  <c r="C526" i="1" s="1"/>
  <c r="G526" i="1" s="1"/>
  <c r="AX71" i="1"/>
  <c r="C616" i="1" s="1"/>
  <c r="E748" i="1"/>
  <c r="E740" i="1"/>
  <c r="F172" i="9"/>
  <c r="E781" i="1"/>
  <c r="E788" i="1"/>
  <c r="E757" i="1"/>
  <c r="I12" i="9"/>
  <c r="F140" i="9"/>
  <c r="E784" i="1"/>
  <c r="BE71" i="1"/>
  <c r="C614" i="1" s="1"/>
  <c r="E773" i="1"/>
  <c r="AH71" i="1"/>
  <c r="C699" i="1" s="1"/>
  <c r="D236" i="9"/>
  <c r="C76" i="9"/>
  <c r="I268" i="9"/>
  <c r="E798" i="1"/>
  <c r="E737" i="1"/>
  <c r="E769" i="1"/>
  <c r="E771" i="1"/>
  <c r="H172" i="9"/>
  <c r="AN71" i="1"/>
  <c r="C705" i="1" s="1"/>
  <c r="E806" i="1"/>
  <c r="E783" i="1"/>
  <c r="E761" i="1"/>
  <c r="E44" i="9"/>
  <c r="I300" i="9"/>
  <c r="E753" i="1"/>
  <c r="E236" i="9"/>
  <c r="M71" i="1"/>
  <c r="C506" i="1" s="1"/>
  <c r="G506" i="1" s="1"/>
  <c r="BN71" i="1"/>
  <c r="C619" i="1" s="1"/>
  <c r="I108" i="9"/>
  <c r="E811" i="1"/>
  <c r="E745" i="1"/>
  <c r="H76" i="9"/>
  <c r="BY71" i="1"/>
  <c r="C645" i="1" s="1"/>
  <c r="E742" i="1"/>
  <c r="I204" i="9"/>
  <c r="G44" i="9"/>
  <c r="G140" i="9"/>
  <c r="E741" i="1"/>
  <c r="H44" i="9"/>
  <c r="C44" i="9"/>
  <c r="E736" i="1"/>
  <c r="E777" i="1"/>
  <c r="D268" i="9"/>
  <c r="E744" i="1"/>
  <c r="BR71" i="1"/>
  <c r="C563" i="1" s="1"/>
  <c r="H268" i="9"/>
  <c r="AB71" i="1"/>
  <c r="C521" i="1" s="1"/>
  <c r="G521" i="1" s="1"/>
  <c r="E762" i="1"/>
  <c r="E810" i="1"/>
  <c r="E204" i="9"/>
  <c r="I236" i="9"/>
  <c r="E778" i="1"/>
  <c r="BF71" i="1"/>
  <c r="I245" i="9" s="1"/>
  <c r="F268" i="9"/>
  <c r="E797" i="1"/>
  <c r="E758" i="1"/>
  <c r="C108" i="9"/>
  <c r="F332" i="9"/>
  <c r="E738" i="1"/>
  <c r="C53" i="9"/>
  <c r="C503" i="1"/>
  <c r="G503" i="1" s="1"/>
  <c r="E754" i="1"/>
  <c r="E756" i="1"/>
  <c r="AA71" i="1"/>
  <c r="C692" i="1" s="1"/>
  <c r="G300" i="9"/>
  <c r="BV71" i="1"/>
  <c r="C567" i="1" s="1"/>
  <c r="E808" i="1"/>
  <c r="D71" i="1"/>
  <c r="C497" i="1" s="1"/>
  <c r="G497" i="1" s="1"/>
  <c r="E759" i="1"/>
  <c r="E795" i="1"/>
  <c r="AF71" i="1"/>
  <c r="C697" i="1" s="1"/>
  <c r="E807" i="1"/>
  <c r="D108" i="9"/>
  <c r="AY71" i="1"/>
  <c r="C625" i="1" s="1"/>
  <c r="E805" i="1"/>
  <c r="E735" i="1"/>
  <c r="D140" i="9"/>
  <c r="E108" i="9"/>
  <c r="E755" i="1"/>
  <c r="D364" i="9"/>
  <c r="G71" i="1"/>
  <c r="C672" i="1" s="1"/>
  <c r="C140" i="9"/>
  <c r="D44" i="9"/>
  <c r="BT71" i="1"/>
  <c r="C12" i="9"/>
  <c r="I172" i="9"/>
  <c r="E775" i="1"/>
  <c r="E772" i="1"/>
  <c r="E804" i="1"/>
  <c r="I140" i="9"/>
  <c r="CE48" i="1"/>
  <c r="AK71" i="1"/>
  <c r="E780" i="1"/>
  <c r="AW71" i="1"/>
  <c r="C268" i="9"/>
  <c r="E790" i="1"/>
  <c r="D76" i="9"/>
  <c r="E764" i="1"/>
  <c r="C332" i="9"/>
  <c r="F204" i="9"/>
  <c r="E796" i="1"/>
  <c r="AJ71" i="1"/>
  <c r="C701" i="1" s="1"/>
  <c r="C204" i="9"/>
  <c r="E776" i="1"/>
  <c r="H204" i="9"/>
  <c r="H140" i="9"/>
  <c r="CE62" i="1"/>
  <c r="E816" i="1" s="1"/>
  <c r="E268" i="9"/>
  <c r="G76" i="9"/>
  <c r="E752" i="1"/>
  <c r="E799" i="1"/>
  <c r="BP71" i="1"/>
  <c r="E802" i="1"/>
  <c r="H300" i="9"/>
  <c r="G236" i="9"/>
  <c r="E787" i="1"/>
  <c r="F300" i="9"/>
  <c r="E800" i="1"/>
  <c r="BQ71" i="1"/>
  <c r="J741" i="1"/>
  <c r="G513" i="10"/>
  <c r="H513" i="10"/>
  <c r="G531" i="10"/>
  <c r="H531" i="10" s="1"/>
  <c r="G520" i="10"/>
  <c r="H520" i="10" s="1"/>
  <c r="G519" i="10"/>
  <c r="H519" i="10" s="1"/>
  <c r="G510" i="10"/>
  <c r="H510" i="10" s="1"/>
  <c r="G514" i="10"/>
  <c r="H514" i="10" s="1"/>
  <c r="CE62" i="10"/>
  <c r="C71" i="10"/>
  <c r="B496" i="1" s="1"/>
  <c r="E733" i="10"/>
  <c r="G522" i="10"/>
  <c r="H522" i="10" s="1"/>
  <c r="G498" i="10"/>
  <c r="H498" i="10" s="1"/>
  <c r="G516" i="10"/>
  <c r="H516" i="10" s="1"/>
  <c r="G511" i="10"/>
  <c r="H511" i="10" s="1"/>
  <c r="G550" i="10"/>
  <c r="H550" i="10" s="1"/>
  <c r="G518" i="10"/>
  <c r="H518" i="10" s="1"/>
  <c r="G524" i="10"/>
  <c r="H524" i="10" s="1"/>
  <c r="G508" i="10"/>
  <c r="H508" i="10" s="1"/>
  <c r="G521" i="10"/>
  <c r="H521" i="10"/>
  <c r="G530" i="10"/>
  <c r="H530" i="10" s="1"/>
  <c r="G509" i="10"/>
  <c r="H509" i="10" s="1"/>
  <c r="G528" i="10"/>
  <c r="H528" i="10" s="1"/>
  <c r="G517" i="10"/>
  <c r="H517" i="10"/>
  <c r="G544" i="10"/>
  <c r="H544" i="10" s="1"/>
  <c r="G503" i="10"/>
  <c r="H503" i="10" s="1"/>
  <c r="C648" i="10"/>
  <c r="M716" i="10" s="1"/>
  <c r="D615" i="10"/>
  <c r="G526" i="10"/>
  <c r="H526" i="10" s="1"/>
  <c r="G512" i="10"/>
  <c r="H512" i="10"/>
  <c r="F76" i="9"/>
  <c r="E751" i="1"/>
  <c r="T71" i="1"/>
  <c r="H17" i="9"/>
  <c r="J765" i="1"/>
  <c r="J806" i="10"/>
  <c r="J776" i="10"/>
  <c r="J755" i="10"/>
  <c r="N815" i="1"/>
  <c r="J759" i="1"/>
  <c r="F511" i="1"/>
  <c r="H501" i="1"/>
  <c r="F501" i="1"/>
  <c r="F497" i="1"/>
  <c r="H497" i="1"/>
  <c r="E750" i="1"/>
  <c r="E76" i="9"/>
  <c r="S71" i="1"/>
  <c r="AM71" i="1"/>
  <c r="D172" i="9"/>
  <c r="E770" i="1"/>
  <c r="H332" i="9"/>
  <c r="E809" i="1"/>
  <c r="D145" i="9"/>
  <c r="J763" i="1"/>
  <c r="BC52" i="1"/>
  <c r="BC67" i="1" s="1"/>
  <c r="BC71" i="1" s="1"/>
  <c r="AP52" i="1"/>
  <c r="AP67" i="1" s="1"/>
  <c r="AP71" i="1" s="1"/>
  <c r="G181" i="9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R52" i="1"/>
  <c r="R67" i="1" s="1"/>
  <c r="R71" i="1" s="1"/>
  <c r="Z52" i="1"/>
  <c r="Z67" i="1" s="1"/>
  <c r="Z71" i="1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AS52" i="1"/>
  <c r="AS67" i="1" s="1"/>
  <c r="AS71" i="1" s="1"/>
  <c r="AQ52" i="1"/>
  <c r="AQ67" i="1" s="1"/>
  <c r="AQ71" i="1" s="1"/>
  <c r="H181" i="9" s="1"/>
  <c r="AR52" i="1"/>
  <c r="AR67" i="1" s="1"/>
  <c r="AR71" i="1" s="1"/>
  <c r="AZ52" i="1"/>
  <c r="AZ67" i="1" s="1"/>
  <c r="AZ71" i="1" s="1"/>
  <c r="C245" i="9" s="1"/>
  <c r="N52" i="1"/>
  <c r="N67" i="1" s="1"/>
  <c r="N71" i="1" s="1"/>
  <c r="CA52" i="1"/>
  <c r="CA67" i="1" s="1"/>
  <c r="CA71" i="1" s="1"/>
  <c r="C572" i="1" s="1"/>
  <c r="BU52" i="1"/>
  <c r="BU67" i="1" s="1"/>
  <c r="BU71" i="1" s="1"/>
  <c r="C641" i="1" s="1"/>
  <c r="AD52" i="1"/>
  <c r="AD67" i="1" s="1"/>
  <c r="AD71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H145" i="9"/>
  <c r="J767" i="1"/>
  <c r="J807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643" i="1" s="1"/>
  <c r="BI52" i="1"/>
  <c r="BI67" i="1" s="1"/>
  <c r="BI71" i="1" s="1"/>
  <c r="K52" i="1"/>
  <c r="K67" i="1" s="1"/>
  <c r="K71" i="1" s="1"/>
  <c r="C676" i="1" s="1"/>
  <c r="D465" i="1"/>
  <c r="AC71" i="1"/>
  <c r="C522" i="1" s="1"/>
  <c r="G522" i="1" s="1"/>
  <c r="E177" i="9"/>
  <c r="H81" i="9"/>
  <c r="CB71" i="1"/>
  <c r="C622" i="1" s="1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C524" i="1" s="1"/>
  <c r="G524" i="1" s="1"/>
  <c r="BL52" i="1"/>
  <c r="BL67" i="1" s="1"/>
  <c r="BL71" i="1" s="1"/>
  <c r="C557" i="1" s="1"/>
  <c r="E758" i="10"/>
  <c r="E774" i="10"/>
  <c r="E798" i="10"/>
  <c r="J738" i="1"/>
  <c r="G17" i="9"/>
  <c r="J796" i="1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E760" i="10"/>
  <c r="E770" i="10"/>
  <c r="E786" i="10"/>
  <c r="E802" i="10"/>
  <c r="E810" i="10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35" i="1"/>
  <c r="D17" i="9"/>
  <c r="J800" i="1"/>
  <c r="F305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J737" i="1"/>
  <c r="J787" i="1"/>
  <c r="G241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I49" i="9" l="1"/>
  <c r="BX71" i="1"/>
  <c r="C644" i="1" s="1"/>
  <c r="J739" i="1"/>
  <c r="D305" i="9"/>
  <c r="F17" i="9"/>
  <c r="J747" i="1"/>
  <c r="J799" i="1"/>
  <c r="E305" i="9"/>
  <c r="BM71" i="1"/>
  <c r="C558" i="1" s="1"/>
  <c r="H213" i="9"/>
  <c r="F341" i="9"/>
  <c r="C569" i="1"/>
  <c r="C673" i="1"/>
  <c r="H21" i="9"/>
  <c r="C624" i="1"/>
  <c r="G245" i="9"/>
  <c r="C671" i="1"/>
  <c r="J798" i="1"/>
  <c r="C543" i="1"/>
  <c r="C149" i="9"/>
  <c r="D53" i="9"/>
  <c r="I21" i="9"/>
  <c r="C502" i="1"/>
  <c r="G502" i="1" s="1"/>
  <c r="C674" i="1"/>
  <c r="C523" i="1"/>
  <c r="G523" i="1" s="1"/>
  <c r="C695" i="1"/>
  <c r="I117" i="9"/>
  <c r="C540" i="1"/>
  <c r="G540" i="1" s="1"/>
  <c r="E213" i="9"/>
  <c r="C712" i="1"/>
  <c r="C117" i="9"/>
  <c r="C689" i="1"/>
  <c r="C517" i="1"/>
  <c r="G517" i="1" s="1"/>
  <c r="C510" i="1"/>
  <c r="G510" i="1" s="1"/>
  <c r="C682" i="1"/>
  <c r="C85" i="9"/>
  <c r="C691" i="1"/>
  <c r="C519" i="1"/>
  <c r="G519" i="1" s="1"/>
  <c r="E117" i="9"/>
  <c r="C277" i="9"/>
  <c r="C618" i="1"/>
  <c r="C552" i="1"/>
  <c r="G53" i="9"/>
  <c r="C507" i="1"/>
  <c r="G507" i="1" s="1"/>
  <c r="C679" i="1"/>
  <c r="F181" i="9"/>
  <c r="C706" i="1"/>
  <c r="C534" i="1"/>
  <c r="G534" i="1" s="1"/>
  <c r="C546" i="1"/>
  <c r="G546" i="1" s="1"/>
  <c r="D245" i="9"/>
  <c r="C630" i="1"/>
  <c r="D117" i="9"/>
  <c r="C518" i="1"/>
  <c r="G518" i="1" s="1"/>
  <c r="C690" i="1"/>
  <c r="C341" i="9"/>
  <c r="H277" i="9"/>
  <c r="J803" i="1"/>
  <c r="I305" i="9"/>
  <c r="H85" i="9"/>
  <c r="C566" i="1"/>
  <c r="E145" i="9"/>
  <c r="J764" i="1"/>
  <c r="C696" i="1"/>
  <c r="H524" i="1"/>
  <c r="C515" i="1"/>
  <c r="G515" i="1" s="1"/>
  <c r="C504" i="1"/>
  <c r="G504" i="1" s="1"/>
  <c r="C637" i="1"/>
  <c r="C627" i="1"/>
  <c r="C707" i="1"/>
  <c r="C535" i="1"/>
  <c r="G535" i="1" s="1"/>
  <c r="C703" i="1"/>
  <c r="C545" i="1"/>
  <c r="G545" i="1" s="1"/>
  <c r="C531" i="1"/>
  <c r="G531" i="1" s="1"/>
  <c r="C309" i="9"/>
  <c r="C628" i="1"/>
  <c r="C570" i="1"/>
  <c r="G341" i="9"/>
  <c r="C550" i="1"/>
  <c r="G550" i="1" s="1"/>
  <c r="H245" i="9"/>
  <c r="D615" i="1"/>
  <c r="D693" i="1" s="1"/>
  <c r="C520" i="1"/>
  <c r="G520" i="1" s="1"/>
  <c r="C533" i="1"/>
  <c r="G533" i="1" s="1"/>
  <c r="C499" i="1"/>
  <c r="G499" i="1" s="1"/>
  <c r="C559" i="1"/>
  <c r="F149" i="9"/>
  <c r="C527" i="1"/>
  <c r="G527" i="1" s="1"/>
  <c r="E181" i="9"/>
  <c r="C536" i="1"/>
  <c r="G536" i="1" s="1"/>
  <c r="D373" i="9"/>
  <c r="C560" i="1"/>
  <c r="C708" i="1"/>
  <c r="H149" i="9"/>
  <c r="C700" i="1"/>
  <c r="C528" i="1"/>
  <c r="G528" i="1" s="1"/>
  <c r="C508" i="1"/>
  <c r="G508" i="1" s="1"/>
  <c r="C568" i="1"/>
  <c r="C680" i="1"/>
  <c r="E341" i="9"/>
  <c r="C617" i="1"/>
  <c r="D277" i="9"/>
  <c r="C678" i="1"/>
  <c r="F53" i="9"/>
  <c r="C553" i="1"/>
  <c r="C505" i="1"/>
  <c r="G505" i="1" s="1"/>
  <c r="C677" i="1"/>
  <c r="E53" i="9"/>
  <c r="C539" i="1"/>
  <c r="G539" i="1" s="1"/>
  <c r="C647" i="1"/>
  <c r="D213" i="9"/>
  <c r="C698" i="1"/>
  <c r="C670" i="1"/>
  <c r="D21" i="9"/>
  <c r="C693" i="1"/>
  <c r="I341" i="9"/>
  <c r="E21" i="9"/>
  <c r="G117" i="9"/>
  <c r="C626" i="1"/>
  <c r="G21" i="9"/>
  <c r="C500" i="1"/>
  <c r="G500" i="1" s="1"/>
  <c r="C529" i="1"/>
  <c r="G529" i="1" s="1"/>
  <c r="G309" i="9"/>
  <c r="I364" i="9"/>
  <c r="F213" i="9"/>
  <c r="F277" i="9"/>
  <c r="D341" i="9"/>
  <c r="C551" i="1"/>
  <c r="C629" i="1"/>
  <c r="F117" i="9"/>
  <c r="C544" i="1"/>
  <c r="G544" i="1" s="1"/>
  <c r="C642" i="1"/>
  <c r="C713" i="1"/>
  <c r="C547" i="1"/>
  <c r="I213" i="9"/>
  <c r="C573" i="1"/>
  <c r="C632" i="1"/>
  <c r="C525" i="1"/>
  <c r="G525" i="1" s="1"/>
  <c r="C373" i="9"/>
  <c r="D149" i="9"/>
  <c r="E149" i="9"/>
  <c r="G516" i="1"/>
  <c r="H516" i="1" s="1"/>
  <c r="C688" i="1"/>
  <c r="C620" i="1"/>
  <c r="C669" i="1"/>
  <c r="I85" i="9"/>
  <c r="E815" i="1"/>
  <c r="I309" i="9"/>
  <c r="C565" i="1"/>
  <c r="C640" i="1"/>
  <c r="F309" i="9"/>
  <c r="C623" i="1"/>
  <c r="C562" i="1"/>
  <c r="C537" i="1"/>
  <c r="G537" i="1" s="1"/>
  <c r="C709" i="1"/>
  <c r="I181" i="9"/>
  <c r="H498" i="1"/>
  <c r="C710" i="1"/>
  <c r="C213" i="9"/>
  <c r="C538" i="1"/>
  <c r="G538" i="1" s="1"/>
  <c r="C428" i="1"/>
  <c r="C621" i="1"/>
  <c r="C561" i="1"/>
  <c r="E309" i="9"/>
  <c r="G213" i="9"/>
  <c r="C631" i="1"/>
  <c r="C542" i="1"/>
  <c r="C639" i="1"/>
  <c r="C564" i="1"/>
  <c r="H309" i="9"/>
  <c r="G85" i="9"/>
  <c r="C686" i="1"/>
  <c r="C514" i="1"/>
  <c r="G514" i="1" s="1"/>
  <c r="C554" i="1"/>
  <c r="C634" i="1"/>
  <c r="E277" i="9"/>
  <c r="C511" i="1"/>
  <c r="C683" i="1"/>
  <c r="D85" i="9"/>
  <c r="C530" i="1"/>
  <c r="G530" i="1" s="1"/>
  <c r="C702" i="1"/>
  <c r="I149" i="9"/>
  <c r="H117" i="9"/>
  <c r="C694" i="1"/>
  <c r="C428" i="10"/>
  <c r="C441" i="10" s="1"/>
  <c r="CE71" i="10"/>
  <c r="C668" i="10"/>
  <c r="C715" i="10" s="1"/>
  <c r="C496" i="10"/>
  <c r="M733" i="10"/>
  <c r="M814" i="10" s="1"/>
  <c r="E814" i="10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4" i="10"/>
  <c r="D680" i="10"/>
  <c r="D676" i="10"/>
  <c r="D672" i="10"/>
  <c r="D705" i="10"/>
  <c r="D689" i="10"/>
  <c r="D685" i="10"/>
  <c r="D681" i="10"/>
  <c r="D677" i="10"/>
  <c r="D673" i="10"/>
  <c r="D669" i="10"/>
  <c r="D709" i="10"/>
  <c r="D693" i="10"/>
  <c r="D686" i="10"/>
  <c r="D682" i="10"/>
  <c r="D678" i="10"/>
  <c r="D674" i="10"/>
  <c r="D670" i="10"/>
  <c r="D647" i="10"/>
  <c r="D646" i="10"/>
  <c r="D645" i="10"/>
  <c r="D697" i="10"/>
  <c r="D679" i="10"/>
  <c r="D629" i="10"/>
  <c r="D626" i="10"/>
  <c r="D623" i="10"/>
  <c r="D621" i="10"/>
  <c r="D619" i="10"/>
  <c r="D617" i="10"/>
  <c r="D713" i="10"/>
  <c r="D683" i="10"/>
  <c r="D668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71" i="10"/>
  <c r="D644" i="10"/>
  <c r="D643" i="10"/>
  <c r="D642" i="10"/>
  <c r="D628" i="10"/>
  <c r="D622" i="10"/>
  <c r="D620" i="10"/>
  <c r="D618" i="10"/>
  <c r="D616" i="10"/>
  <c r="D675" i="10"/>
  <c r="D627" i="10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21" i="9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 s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H526" i="1" s="1"/>
  <c r="F503" i="1"/>
  <c r="H503" i="1" s="1"/>
  <c r="F508" i="1"/>
  <c r="F514" i="1"/>
  <c r="H507" i="1"/>
  <c r="F507" i="1"/>
  <c r="F518" i="1"/>
  <c r="H546" i="1"/>
  <c r="F546" i="1"/>
  <c r="F506" i="1"/>
  <c r="H506" i="1"/>
  <c r="H500" i="1"/>
  <c r="F500" i="1"/>
  <c r="F509" i="1"/>
  <c r="I277" i="9" l="1"/>
  <c r="C638" i="1"/>
  <c r="H518" i="1"/>
  <c r="D681" i="1"/>
  <c r="C648" i="1"/>
  <c r="M716" i="1" s="1"/>
  <c r="Y816" i="1" s="1"/>
  <c r="H510" i="1"/>
  <c r="C496" i="1"/>
  <c r="G496" i="1" s="1"/>
  <c r="H517" i="1"/>
  <c r="C668" i="1"/>
  <c r="C715" i="1" s="1"/>
  <c r="D626" i="1"/>
  <c r="D695" i="1"/>
  <c r="D636" i="1"/>
  <c r="D711" i="1"/>
  <c r="D635" i="1"/>
  <c r="D640" i="1"/>
  <c r="D677" i="1"/>
  <c r="D671" i="1"/>
  <c r="D641" i="1"/>
  <c r="D622" i="1"/>
  <c r="D632" i="1"/>
  <c r="D638" i="1"/>
  <c r="D689" i="1"/>
  <c r="D696" i="1"/>
  <c r="D668" i="1"/>
  <c r="D688" i="1"/>
  <c r="D645" i="1"/>
  <c r="D699" i="1"/>
  <c r="D629" i="1"/>
  <c r="D617" i="1"/>
  <c r="D702" i="1"/>
  <c r="D683" i="1"/>
  <c r="D710" i="1"/>
  <c r="D639" i="1"/>
  <c r="D630" i="1"/>
  <c r="D674" i="1"/>
  <c r="D637" i="1"/>
  <c r="D692" i="1"/>
  <c r="D669" i="1"/>
  <c r="D621" i="1"/>
  <c r="D691" i="1"/>
  <c r="D680" i="1"/>
  <c r="D679" i="1"/>
  <c r="D697" i="1"/>
  <c r="D708" i="1"/>
  <c r="D673" i="1"/>
  <c r="D678" i="1"/>
  <c r="D633" i="1"/>
  <c r="D624" i="1"/>
  <c r="D623" i="1"/>
  <c r="D700" i="1"/>
  <c r="D631" i="1"/>
  <c r="D670" i="1"/>
  <c r="D716" i="1"/>
  <c r="D694" i="1"/>
  <c r="D634" i="1"/>
  <c r="D642" i="1"/>
  <c r="D713" i="1"/>
  <c r="D686" i="1"/>
  <c r="D676" i="1"/>
  <c r="D685" i="1"/>
  <c r="D698" i="1"/>
  <c r="D675" i="1"/>
  <c r="D703" i="1"/>
  <c r="D701" i="1"/>
  <c r="D712" i="1"/>
  <c r="D646" i="1"/>
  <c r="D625" i="1"/>
  <c r="D705" i="1"/>
  <c r="D707" i="1"/>
  <c r="D643" i="1"/>
  <c r="D647" i="1"/>
  <c r="D620" i="1"/>
  <c r="D627" i="1"/>
  <c r="D704" i="1"/>
  <c r="D672" i="1"/>
  <c r="D619" i="1"/>
  <c r="D618" i="1"/>
  <c r="D687" i="1"/>
  <c r="D628" i="1"/>
  <c r="D682" i="1"/>
  <c r="D684" i="1"/>
  <c r="D690" i="1"/>
  <c r="D616" i="1"/>
  <c r="D706" i="1"/>
  <c r="H550" i="1"/>
  <c r="D644" i="1"/>
  <c r="D709" i="1"/>
  <c r="H520" i="1"/>
  <c r="H528" i="1"/>
  <c r="H544" i="1"/>
  <c r="H508" i="1"/>
  <c r="H530" i="1"/>
  <c r="H512" i="1"/>
  <c r="H509" i="1"/>
  <c r="H514" i="1"/>
  <c r="G511" i="1"/>
  <c r="H511" i="1" s="1"/>
  <c r="E612" i="10"/>
  <c r="C716" i="10"/>
  <c r="M815" i="10"/>
  <c r="G496" i="10"/>
  <c r="H496" i="10" s="1"/>
  <c r="D715" i="10"/>
  <c r="E623" i="10"/>
  <c r="J734" i="1"/>
  <c r="J815" i="1" s="1"/>
  <c r="CE67" i="1"/>
  <c r="CE71" i="1" s="1"/>
  <c r="I373" i="9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 s="1"/>
  <c r="F523" i="1"/>
  <c r="H523" i="1"/>
  <c r="F537" i="1"/>
  <c r="H537" i="1"/>
  <c r="F531" i="1"/>
  <c r="H531" i="1" s="1"/>
  <c r="E623" i="1" l="1"/>
  <c r="E716" i="1" s="1"/>
  <c r="H496" i="1"/>
  <c r="C716" i="1"/>
  <c r="E612" i="1"/>
  <c r="E693" i="1" s="1"/>
  <c r="D715" i="1"/>
  <c r="E716" i="10"/>
  <c r="E711" i="10"/>
  <c r="E707" i="10"/>
  <c r="E703" i="10"/>
  <c r="E699" i="10"/>
  <c r="E695" i="10"/>
  <c r="E69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7" i="10"/>
  <c r="E681" i="10"/>
  <c r="E677" i="10"/>
  <c r="E673" i="10"/>
  <c r="E669" i="10"/>
  <c r="E702" i="10"/>
  <c r="E686" i="10"/>
  <c r="E682" i="10"/>
  <c r="E678" i="10"/>
  <c r="E674" i="10"/>
  <c r="E670" i="10"/>
  <c r="E647" i="10"/>
  <c r="E646" i="10"/>
  <c r="E645" i="10"/>
  <c r="E706" i="10"/>
  <c r="E690" i="10"/>
  <c r="E683" i="10"/>
  <c r="E679" i="10"/>
  <c r="E675" i="10"/>
  <c r="E671" i="10"/>
  <c r="E644" i="10"/>
  <c r="E643" i="10"/>
  <c r="E642" i="10"/>
  <c r="E676" i="10"/>
  <c r="E668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80" i="10"/>
  <c r="E628" i="10"/>
  <c r="E694" i="10"/>
  <c r="E684" i="10"/>
  <c r="E627" i="10"/>
  <c r="E710" i="10"/>
  <c r="E629" i="10"/>
  <c r="E626" i="10"/>
  <c r="E672" i="10"/>
  <c r="C433" i="1"/>
  <c r="C441" i="1" s="1"/>
  <c r="J816" i="1"/>
  <c r="I369" i="9"/>
  <c r="J815" i="10"/>
  <c r="E687" i="1" l="1"/>
  <c r="E701" i="1"/>
  <c r="E642" i="1"/>
  <c r="E632" i="1"/>
  <c r="E673" i="1"/>
  <c r="E669" i="1"/>
  <c r="E627" i="1"/>
  <c r="E683" i="1"/>
  <c r="E678" i="1"/>
  <c r="E682" i="1"/>
  <c r="E684" i="1"/>
  <c r="E633" i="1"/>
  <c r="E644" i="1"/>
  <c r="E700" i="1"/>
  <c r="E696" i="1"/>
  <c r="E634" i="1"/>
  <c r="E643" i="1"/>
  <c r="E694" i="1"/>
  <c r="E704" i="1"/>
  <c r="E698" i="1"/>
  <c r="E707" i="1"/>
  <c r="E690" i="1"/>
  <c r="E631" i="1"/>
  <c r="E629" i="1"/>
  <c r="E640" i="1"/>
  <c r="E681" i="1"/>
  <c r="E688" i="1"/>
  <c r="E638" i="1"/>
  <c r="E709" i="1"/>
  <c r="E676" i="1"/>
  <c r="E637" i="1"/>
  <c r="E635" i="1"/>
  <c r="E686" i="1"/>
  <c r="E692" i="1"/>
  <c r="E677" i="1"/>
  <c r="E706" i="1"/>
  <c r="E697" i="1"/>
  <c r="E674" i="1"/>
  <c r="E626" i="1"/>
  <c r="E705" i="1"/>
  <c r="E685" i="1"/>
  <c r="E624" i="1"/>
  <c r="F624" i="1" s="1"/>
  <c r="E670" i="1"/>
  <c r="E699" i="1"/>
  <c r="E672" i="1"/>
  <c r="E625" i="1"/>
  <c r="E668" i="1"/>
  <c r="E630" i="1"/>
  <c r="E679" i="1"/>
  <c r="E646" i="1"/>
  <c r="E713" i="1"/>
  <c r="E675" i="1"/>
  <c r="E636" i="1"/>
  <c r="E708" i="1"/>
  <c r="E680" i="1"/>
  <c r="E641" i="1"/>
  <c r="E710" i="1"/>
  <c r="E647" i="1"/>
  <c r="E712" i="1"/>
  <c r="E695" i="1"/>
  <c r="E689" i="1"/>
  <c r="E639" i="1"/>
  <c r="E703" i="1"/>
  <c r="E671" i="1"/>
  <c r="E711" i="1"/>
  <c r="E702" i="1"/>
  <c r="E645" i="1"/>
  <c r="E628" i="1"/>
  <c r="E691" i="1"/>
  <c r="E715" i="10"/>
  <c r="F624" i="10"/>
  <c r="F689" i="1" l="1"/>
  <c r="F673" i="1"/>
  <c r="F646" i="1"/>
  <c r="F638" i="1"/>
  <c r="F716" i="1"/>
  <c r="F629" i="1"/>
  <c r="F709" i="1"/>
  <c r="F703" i="1"/>
  <c r="F697" i="1"/>
  <c r="F645" i="1"/>
  <c r="F698" i="1"/>
  <c r="F679" i="1"/>
  <c r="F699" i="1"/>
  <c r="F712" i="1"/>
  <c r="F684" i="1"/>
  <c r="F672" i="1"/>
  <c r="F670" i="1"/>
  <c r="F700" i="1"/>
  <c r="F643" i="1"/>
  <c r="F635" i="1"/>
  <c r="F642" i="1"/>
  <c r="F683" i="1"/>
  <c r="F711" i="1"/>
  <c r="F680" i="1"/>
  <c r="F627" i="1"/>
  <c r="F626" i="1"/>
  <c r="F636" i="1"/>
  <c r="F687" i="1"/>
  <c r="F640" i="1"/>
  <c r="F630" i="1"/>
  <c r="F690" i="1"/>
  <c r="F710" i="1"/>
  <c r="F696" i="1"/>
  <c r="F633" i="1"/>
  <c r="F671" i="1"/>
  <c r="F647" i="1"/>
  <c r="F682" i="1"/>
  <c r="F693" i="1"/>
  <c r="F632" i="1"/>
  <c r="F628" i="1"/>
  <c r="F708" i="1"/>
  <c r="F701" i="1"/>
  <c r="F694" i="1"/>
  <c r="F641" i="1"/>
  <c r="F674" i="1"/>
  <c r="F677" i="1"/>
  <c r="F678" i="1"/>
  <c r="F631" i="1"/>
  <c r="F639" i="1"/>
  <c r="F705" i="1"/>
  <c r="F691" i="1"/>
  <c r="F713" i="1"/>
  <c r="F702" i="1"/>
  <c r="F637" i="1"/>
  <c r="F634" i="1"/>
  <c r="F644" i="1"/>
  <c r="F675" i="1"/>
  <c r="F669" i="1"/>
  <c r="F688" i="1"/>
  <c r="F685" i="1"/>
  <c r="F706" i="1"/>
  <c r="F707" i="1"/>
  <c r="F681" i="1"/>
  <c r="F668" i="1"/>
  <c r="F704" i="1"/>
  <c r="F695" i="1"/>
  <c r="F676" i="1"/>
  <c r="F692" i="1"/>
  <c r="F625" i="1"/>
  <c r="F686" i="1"/>
  <c r="G625" i="1"/>
  <c r="E715" i="1"/>
  <c r="F712" i="10"/>
  <c r="F708" i="10"/>
  <c r="F704" i="10"/>
  <c r="F700" i="10"/>
  <c r="F696" i="10"/>
  <c r="F692" i="10"/>
  <c r="F713" i="10"/>
  <c r="F709" i="10"/>
  <c r="F705" i="10"/>
  <c r="F701" i="10"/>
  <c r="F697" i="10"/>
  <c r="F693" i="10"/>
  <c r="F689" i="10"/>
  <c r="F710" i="10"/>
  <c r="F706" i="10"/>
  <c r="F702" i="10"/>
  <c r="F698" i="10"/>
  <c r="F694" i="10"/>
  <c r="F690" i="10"/>
  <c r="F686" i="10"/>
  <c r="F711" i="10"/>
  <c r="F695" i="10"/>
  <c r="F685" i="10"/>
  <c r="F682" i="10"/>
  <c r="F678" i="10"/>
  <c r="F674" i="10"/>
  <c r="F670" i="10"/>
  <c r="F716" i="10"/>
  <c r="F699" i="10"/>
  <c r="F683" i="10"/>
  <c r="F679" i="10"/>
  <c r="F675" i="10"/>
  <c r="F671" i="10"/>
  <c r="F644" i="10"/>
  <c r="F643" i="10"/>
  <c r="F642" i="10"/>
  <c r="F703" i="10"/>
  <c r="F688" i="10"/>
  <c r="F684" i="10"/>
  <c r="F680" i="10"/>
  <c r="F676" i="10"/>
  <c r="F672" i="10"/>
  <c r="F668" i="10"/>
  <c r="F691" i="10"/>
  <c r="F687" i="10"/>
  <c r="F673" i="10"/>
  <c r="F628" i="10"/>
  <c r="F707" i="10"/>
  <c r="F677" i="10"/>
  <c r="F647" i="10"/>
  <c r="F646" i="10"/>
  <c r="F645" i="10"/>
  <c r="F627" i="10"/>
  <c r="F681" i="10"/>
  <c r="F629" i="10"/>
  <c r="F626" i="10"/>
  <c r="F669" i="10"/>
  <c r="F641" i="10"/>
  <c r="F639" i="10"/>
  <c r="F637" i="10"/>
  <c r="F635" i="10"/>
  <c r="F633" i="10"/>
  <c r="F631" i="10"/>
  <c r="F625" i="10"/>
  <c r="F636" i="10"/>
  <c r="F630" i="10"/>
  <c r="F634" i="10"/>
  <c r="F640" i="10"/>
  <c r="F632" i="10"/>
  <c r="F638" i="10"/>
  <c r="G707" i="1" l="1"/>
  <c r="G686" i="1"/>
  <c r="G647" i="1"/>
  <c r="G689" i="1"/>
  <c r="G710" i="1"/>
  <c r="G705" i="1"/>
  <c r="G668" i="1"/>
  <c r="G716" i="1"/>
  <c r="G633" i="1"/>
  <c r="G690" i="1"/>
  <c r="G626" i="1"/>
  <c r="G688" i="1"/>
  <c r="G684" i="1"/>
  <c r="G643" i="1"/>
  <c r="G678" i="1"/>
  <c r="G679" i="1"/>
  <c r="G673" i="1"/>
  <c r="G696" i="1"/>
  <c r="G682" i="1"/>
  <c r="G700" i="1"/>
  <c r="G711" i="1"/>
  <c r="G701" i="1"/>
  <c r="G670" i="1"/>
  <c r="G685" i="1"/>
  <c r="G645" i="1"/>
  <c r="G675" i="1"/>
  <c r="G637" i="1"/>
  <c r="G694" i="1"/>
  <c r="G644" i="1"/>
  <c r="G692" i="1"/>
  <c r="G695" i="1"/>
  <c r="G676" i="1"/>
  <c r="G697" i="1"/>
  <c r="G693" i="1"/>
  <c r="G629" i="1"/>
  <c r="G632" i="1"/>
  <c r="G699" i="1"/>
  <c r="G680" i="1"/>
  <c r="G627" i="1"/>
  <c r="G703" i="1"/>
  <c r="G698" i="1"/>
  <c r="G638" i="1"/>
  <c r="G708" i="1"/>
  <c r="G681" i="1"/>
  <c r="G702" i="1"/>
  <c r="G691" i="1"/>
  <c r="G635" i="1"/>
  <c r="G709" i="1"/>
  <c r="G630" i="1"/>
  <c r="G706" i="1"/>
  <c r="G674" i="1"/>
  <c r="G639" i="1"/>
  <c r="G641" i="1"/>
  <c r="G640" i="1"/>
  <c r="G677" i="1"/>
  <c r="G687" i="1"/>
  <c r="G642" i="1"/>
  <c r="G669" i="1"/>
  <c r="G683" i="1"/>
  <c r="G646" i="1"/>
  <c r="G704" i="1"/>
  <c r="G672" i="1"/>
  <c r="G634" i="1"/>
  <c r="G628" i="1"/>
  <c r="G671" i="1"/>
  <c r="G636" i="1"/>
  <c r="G631" i="1"/>
  <c r="G713" i="1"/>
  <c r="G712" i="1"/>
  <c r="F715" i="1"/>
  <c r="F715" i="10"/>
  <c r="G625" i="10"/>
  <c r="G715" i="1" l="1"/>
  <c r="H628" i="1"/>
  <c r="G713" i="10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3" i="10"/>
  <c r="G679" i="10"/>
  <c r="G675" i="10"/>
  <c r="G671" i="10"/>
  <c r="G712" i="10"/>
  <c r="G696" i="10"/>
  <c r="G688" i="10"/>
  <c r="G684" i="10"/>
  <c r="G680" i="10"/>
  <c r="G676" i="10"/>
  <c r="G672" i="10"/>
  <c r="G668" i="10"/>
  <c r="G700" i="10"/>
  <c r="G681" i="10"/>
  <c r="G677" i="10"/>
  <c r="G673" i="10"/>
  <c r="G669" i="10"/>
  <c r="G670" i="10"/>
  <c r="G647" i="10"/>
  <c r="G646" i="10"/>
  <c r="G645" i="10"/>
  <c r="G627" i="10"/>
  <c r="G674" i="10"/>
  <c r="G644" i="10"/>
  <c r="G643" i="10"/>
  <c r="G642" i="10"/>
  <c r="G629" i="10"/>
  <c r="G626" i="10"/>
  <c r="G678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4" i="10"/>
  <c r="G685" i="10"/>
  <c r="G628" i="10"/>
  <c r="G682" i="10"/>
  <c r="H683" i="1" l="1"/>
  <c r="H631" i="1"/>
  <c r="H700" i="1"/>
  <c r="H682" i="1"/>
  <c r="H642" i="1"/>
  <c r="H629" i="1"/>
  <c r="H685" i="1"/>
  <c r="H671" i="1"/>
  <c r="H681" i="1"/>
  <c r="H637" i="1"/>
  <c r="H705" i="1"/>
  <c r="H708" i="1"/>
  <c r="H672" i="1"/>
  <c r="H676" i="1"/>
  <c r="H712" i="1"/>
  <c r="H674" i="1"/>
  <c r="H645" i="1"/>
  <c r="H711" i="1"/>
  <c r="H693" i="1"/>
  <c r="H634" i="1"/>
  <c r="H691" i="1"/>
  <c r="H696" i="1"/>
  <c r="H630" i="1"/>
  <c r="H644" i="1"/>
  <c r="H647" i="1"/>
  <c r="H646" i="1"/>
  <c r="H704" i="1"/>
  <c r="H670" i="1"/>
  <c r="H697" i="1"/>
  <c r="H703" i="1"/>
  <c r="H694" i="1"/>
  <c r="H688" i="1"/>
  <c r="H639" i="1"/>
  <c r="H677" i="1"/>
  <c r="H699" i="1"/>
  <c r="H675" i="1"/>
  <c r="H706" i="1"/>
  <c r="H684" i="1"/>
  <c r="H641" i="1"/>
  <c r="H668" i="1"/>
  <c r="H707" i="1"/>
  <c r="H710" i="1"/>
  <c r="H673" i="1"/>
  <c r="H680" i="1"/>
  <c r="H709" i="1"/>
  <c r="H695" i="1"/>
  <c r="H713" i="1"/>
  <c r="H716" i="1"/>
  <c r="H687" i="1"/>
  <c r="H689" i="1"/>
  <c r="H686" i="1"/>
  <c r="H638" i="1"/>
  <c r="H702" i="1"/>
  <c r="H690" i="1"/>
  <c r="H679" i="1"/>
  <c r="H701" i="1"/>
  <c r="H698" i="1"/>
  <c r="H669" i="1"/>
  <c r="H636" i="1"/>
  <c r="H632" i="1"/>
  <c r="H643" i="1"/>
  <c r="H692" i="1"/>
  <c r="H635" i="1"/>
  <c r="H640" i="1"/>
  <c r="H678" i="1"/>
  <c r="H633" i="1"/>
  <c r="H628" i="10"/>
  <c r="H710" i="10" s="1"/>
  <c r="H642" i="10"/>
  <c r="H639" i="10"/>
  <c r="H633" i="10"/>
  <c r="H668" i="10"/>
  <c r="G715" i="10"/>
  <c r="H715" i="1" l="1"/>
  <c r="I629" i="1"/>
  <c r="H697" i="10"/>
  <c r="H686" i="10"/>
  <c r="H690" i="10"/>
  <c r="H704" i="10"/>
  <c r="H641" i="10"/>
  <c r="H669" i="10"/>
  <c r="H705" i="10"/>
  <c r="H703" i="10"/>
  <c r="H698" i="10"/>
  <c r="H679" i="10"/>
  <c r="H634" i="10"/>
  <c r="H640" i="10"/>
  <c r="H643" i="10"/>
  <c r="H670" i="10"/>
  <c r="H713" i="10"/>
  <c r="H709" i="10"/>
  <c r="H689" i="10"/>
  <c r="H699" i="10"/>
  <c r="H635" i="10"/>
  <c r="H644" i="10"/>
  <c r="H674" i="10"/>
  <c r="H672" i="10"/>
  <c r="H708" i="10"/>
  <c r="H630" i="10"/>
  <c r="H636" i="10"/>
  <c r="H671" i="10"/>
  <c r="H683" i="10"/>
  <c r="H678" i="10"/>
  <c r="H673" i="10"/>
  <c r="H676" i="10"/>
  <c r="H688" i="10"/>
  <c r="H712" i="10"/>
  <c r="H707" i="10"/>
  <c r="H702" i="10"/>
  <c r="H647" i="10"/>
  <c r="H693" i="10"/>
  <c r="H700" i="10"/>
  <c r="H695" i="10"/>
  <c r="H694" i="10"/>
  <c r="H675" i="10"/>
  <c r="H631" i="10"/>
  <c r="H637" i="10"/>
  <c r="H701" i="10"/>
  <c r="H645" i="10"/>
  <c r="H682" i="10"/>
  <c r="H677" i="10"/>
  <c r="H680" i="10"/>
  <c r="H692" i="10"/>
  <c r="H687" i="10"/>
  <c r="H711" i="10"/>
  <c r="H706" i="10"/>
  <c r="H632" i="10"/>
  <c r="H638" i="10"/>
  <c r="H629" i="10"/>
  <c r="H715" i="10" s="1"/>
  <c r="H646" i="10"/>
  <c r="H685" i="10"/>
  <c r="H681" i="10"/>
  <c r="H684" i="10"/>
  <c r="H696" i="10"/>
  <c r="H691" i="10"/>
  <c r="H716" i="10"/>
  <c r="I636" i="1" l="1"/>
  <c r="I669" i="1"/>
  <c r="I679" i="1"/>
  <c r="I681" i="1"/>
  <c r="I672" i="1"/>
  <c r="I706" i="1"/>
  <c r="I697" i="1"/>
  <c r="I709" i="1"/>
  <c r="I711" i="1"/>
  <c r="I677" i="1"/>
  <c r="I639" i="1"/>
  <c r="I700" i="1"/>
  <c r="I686" i="1"/>
  <c r="I690" i="1"/>
  <c r="I699" i="1"/>
  <c r="I693" i="1"/>
  <c r="I644" i="1"/>
  <c r="I634" i="1"/>
  <c r="I642" i="1"/>
  <c r="I673" i="1"/>
  <c r="I701" i="1"/>
  <c r="I632" i="1"/>
  <c r="I646" i="1"/>
  <c r="I633" i="1"/>
  <c r="I635" i="1"/>
  <c r="I710" i="1"/>
  <c r="I670" i="1"/>
  <c r="I671" i="1"/>
  <c r="I675" i="1"/>
  <c r="I694" i="1"/>
  <c r="I698" i="1"/>
  <c r="I685" i="1"/>
  <c r="I643" i="1"/>
  <c r="I684" i="1"/>
  <c r="I687" i="1"/>
  <c r="I676" i="1"/>
  <c r="I708" i="1"/>
  <c r="I689" i="1"/>
  <c r="I696" i="1"/>
  <c r="I688" i="1"/>
  <c r="I716" i="1"/>
  <c r="I645" i="1"/>
  <c r="I713" i="1"/>
  <c r="I637" i="1"/>
  <c r="I640" i="1"/>
  <c r="I678" i="1"/>
  <c r="I674" i="1"/>
  <c r="I705" i="1"/>
  <c r="I638" i="1"/>
  <c r="I631" i="1"/>
  <c r="I707" i="1"/>
  <c r="I682" i="1"/>
  <c r="I641" i="1"/>
  <c r="I683" i="1"/>
  <c r="I712" i="1"/>
  <c r="I647" i="1"/>
  <c r="I680" i="1"/>
  <c r="I630" i="1"/>
  <c r="I692" i="1"/>
  <c r="I691" i="1"/>
  <c r="I702" i="1"/>
  <c r="I704" i="1"/>
  <c r="I695" i="1"/>
  <c r="I703" i="1"/>
  <c r="I668" i="1"/>
  <c r="I629" i="10"/>
  <c r="I716" i="10"/>
  <c r="I711" i="10"/>
  <c r="I707" i="10"/>
  <c r="I703" i="10"/>
  <c r="I699" i="10"/>
  <c r="I695" i="10"/>
  <c r="I691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1" i="10"/>
  <c r="I677" i="10"/>
  <c r="I673" i="10"/>
  <c r="I669" i="10"/>
  <c r="I706" i="10"/>
  <c r="I690" i="10"/>
  <c r="I682" i="10"/>
  <c r="I678" i="10"/>
  <c r="I674" i="10"/>
  <c r="I670" i="10"/>
  <c r="I647" i="10"/>
  <c r="I646" i="10"/>
  <c r="I645" i="10"/>
  <c r="I710" i="10"/>
  <c r="I694" i="10"/>
  <c r="I687" i="10"/>
  <c r="I683" i="10"/>
  <c r="I679" i="10"/>
  <c r="I675" i="10"/>
  <c r="I671" i="10"/>
  <c r="I644" i="10"/>
  <c r="I643" i="10"/>
  <c r="I642" i="10"/>
  <c r="I680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6" i="10"/>
  <c r="I684" i="10"/>
  <c r="I672" i="10"/>
  <c r="I668" i="10"/>
  <c r="I698" i="10"/>
  <c r="I676" i="10"/>
  <c r="I715" i="1" l="1"/>
  <c r="J630" i="1"/>
  <c r="I715" i="10"/>
  <c r="J630" i="10"/>
  <c r="J678" i="1" l="1"/>
  <c r="J634" i="1"/>
  <c r="J676" i="1"/>
  <c r="J673" i="1"/>
  <c r="J689" i="1"/>
  <c r="J670" i="1"/>
  <c r="J688" i="1"/>
  <c r="J683" i="1"/>
  <c r="J706" i="1"/>
  <c r="J692" i="1"/>
  <c r="J641" i="1"/>
  <c r="J647" i="1"/>
  <c r="L647" i="1" s="1"/>
  <c r="J633" i="1"/>
  <c r="J705" i="1"/>
  <c r="J686" i="1"/>
  <c r="J645" i="1"/>
  <c r="J672" i="1"/>
  <c r="J713" i="1"/>
  <c r="J635" i="1"/>
  <c r="J709" i="1"/>
  <c r="J679" i="1"/>
  <c r="J646" i="1"/>
  <c r="J708" i="1"/>
  <c r="J638" i="1"/>
  <c r="J697" i="1"/>
  <c r="J680" i="1"/>
  <c r="J693" i="1"/>
  <c r="J707" i="1"/>
  <c r="J681" i="1"/>
  <c r="J704" i="1"/>
  <c r="J702" i="1"/>
  <c r="J703" i="1"/>
  <c r="J690" i="1"/>
  <c r="J687" i="1"/>
  <c r="J642" i="1"/>
  <c r="J700" i="1"/>
  <c r="J632" i="1"/>
  <c r="J636" i="1"/>
  <c r="J668" i="1"/>
  <c r="J685" i="1"/>
  <c r="J675" i="1"/>
  <c r="J710" i="1"/>
  <c r="J682" i="1"/>
  <c r="J671" i="1"/>
  <c r="J716" i="1"/>
  <c r="J640" i="1"/>
  <c r="J637" i="1"/>
  <c r="J643" i="1"/>
  <c r="J699" i="1"/>
  <c r="J712" i="1"/>
  <c r="J691" i="1"/>
  <c r="J695" i="1"/>
  <c r="J674" i="1"/>
  <c r="J698" i="1"/>
  <c r="J684" i="1"/>
  <c r="J696" i="1"/>
  <c r="J701" i="1"/>
  <c r="J669" i="1"/>
  <c r="J694" i="1"/>
  <c r="J644" i="1"/>
  <c r="K644" i="1" s="1"/>
  <c r="J639" i="1"/>
  <c r="J631" i="1"/>
  <c r="J711" i="1"/>
  <c r="J677" i="1"/>
  <c r="J712" i="10"/>
  <c r="J708" i="10"/>
  <c r="J704" i="10"/>
  <c r="J700" i="10"/>
  <c r="J696" i="10"/>
  <c r="J692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686" i="10"/>
  <c r="J716" i="10"/>
  <c r="J699" i="10"/>
  <c r="J688" i="10"/>
  <c r="J682" i="10"/>
  <c r="J678" i="10"/>
  <c r="J674" i="10"/>
  <c r="J670" i="10"/>
  <c r="J703" i="10"/>
  <c r="J687" i="10"/>
  <c r="J685" i="10"/>
  <c r="J683" i="10"/>
  <c r="J679" i="10"/>
  <c r="J675" i="10"/>
  <c r="J671" i="10"/>
  <c r="J644" i="10"/>
  <c r="J643" i="10"/>
  <c r="J642" i="10"/>
  <c r="J641" i="10"/>
  <c r="J707" i="10"/>
  <c r="J691" i="10"/>
  <c r="J684" i="10"/>
  <c r="J680" i="10"/>
  <c r="J676" i="10"/>
  <c r="J672" i="10"/>
  <c r="J668" i="10"/>
  <c r="J677" i="10"/>
  <c r="J695" i="10"/>
  <c r="J681" i="10"/>
  <c r="J711" i="10"/>
  <c r="J669" i="10"/>
  <c r="J645" i="10"/>
  <c r="J639" i="10"/>
  <c r="J637" i="10"/>
  <c r="J635" i="10"/>
  <c r="J633" i="10"/>
  <c r="J631" i="10"/>
  <c r="J673" i="10"/>
  <c r="J647" i="10"/>
  <c r="J640" i="10"/>
  <c r="J638" i="10"/>
  <c r="J636" i="10"/>
  <c r="J634" i="10"/>
  <c r="J632" i="10"/>
  <c r="J646" i="10"/>
  <c r="L694" i="1" l="1"/>
  <c r="L710" i="1"/>
  <c r="L695" i="1"/>
  <c r="L684" i="1"/>
  <c r="L704" i="1"/>
  <c r="L682" i="1"/>
  <c r="L680" i="1"/>
  <c r="L708" i="1"/>
  <c r="L688" i="1"/>
  <c r="L701" i="1"/>
  <c r="L679" i="1"/>
  <c r="L702" i="1"/>
  <c r="L716" i="1"/>
  <c r="L692" i="1"/>
  <c r="L670" i="1"/>
  <c r="L707" i="1"/>
  <c r="L690" i="1"/>
  <c r="L693" i="1"/>
  <c r="L674" i="1"/>
  <c r="L689" i="1"/>
  <c r="L698" i="1"/>
  <c r="L678" i="1"/>
  <c r="L675" i="1"/>
  <c r="L705" i="1"/>
  <c r="M705" i="1" s="1"/>
  <c r="L676" i="1"/>
  <c r="L697" i="1"/>
  <c r="L699" i="1"/>
  <c r="L685" i="1"/>
  <c r="L711" i="1"/>
  <c r="L687" i="1"/>
  <c r="M687" i="1" s="1"/>
  <c r="L686" i="1"/>
  <c r="L712" i="1"/>
  <c r="L706" i="1"/>
  <c r="L683" i="1"/>
  <c r="L673" i="1"/>
  <c r="L681" i="1"/>
  <c r="M681" i="1" s="1"/>
  <c r="L668" i="1"/>
  <c r="L709" i="1"/>
  <c r="L703" i="1"/>
  <c r="L691" i="1"/>
  <c r="L696" i="1"/>
  <c r="L672" i="1"/>
  <c r="M672" i="1" s="1"/>
  <c r="L677" i="1"/>
  <c r="L713" i="1"/>
  <c r="L669" i="1"/>
  <c r="L700" i="1"/>
  <c r="L671" i="1"/>
  <c r="J715" i="1"/>
  <c r="K674" i="1"/>
  <c r="K713" i="1"/>
  <c r="K706" i="1"/>
  <c r="K680" i="1"/>
  <c r="K672" i="1"/>
  <c r="K673" i="1"/>
  <c r="K688" i="1"/>
  <c r="K716" i="1"/>
  <c r="K709" i="1"/>
  <c r="K707" i="1"/>
  <c r="K711" i="1"/>
  <c r="K682" i="1"/>
  <c r="K668" i="1"/>
  <c r="K705" i="1"/>
  <c r="K676" i="1"/>
  <c r="K683" i="1"/>
  <c r="K691" i="1"/>
  <c r="K696" i="1"/>
  <c r="K689" i="1"/>
  <c r="K687" i="1"/>
  <c r="K679" i="1"/>
  <c r="K670" i="1"/>
  <c r="K686" i="1"/>
  <c r="K704" i="1"/>
  <c r="K703" i="1"/>
  <c r="K677" i="1"/>
  <c r="K712" i="1"/>
  <c r="K702" i="1"/>
  <c r="K690" i="1"/>
  <c r="K692" i="1"/>
  <c r="K678" i="1"/>
  <c r="K675" i="1"/>
  <c r="K693" i="1"/>
  <c r="K698" i="1"/>
  <c r="K684" i="1"/>
  <c r="K697" i="1"/>
  <c r="K701" i="1"/>
  <c r="K685" i="1"/>
  <c r="K694" i="1"/>
  <c r="K671" i="1"/>
  <c r="K708" i="1"/>
  <c r="K710" i="1"/>
  <c r="K669" i="1"/>
  <c r="K695" i="1"/>
  <c r="K681" i="1"/>
  <c r="K700" i="1"/>
  <c r="K699" i="1"/>
  <c r="J715" i="10"/>
  <c r="K644" i="10"/>
  <c r="L647" i="10"/>
  <c r="Y753" i="1" l="1"/>
  <c r="H87" i="9"/>
  <c r="E183" i="9"/>
  <c r="Y771" i="1"/>
  <c r="M693" i="1"/>
  <c r="M702" i="1"/>
  <c r="M682" i="1"/>
  <c r="M671" i="1"/>
  <c r="M696" i="1"/>
  <c r="M673" i="1"/>
  <c r="M711" i="1"/>
  <c r="M675" i="1"/>
  <c r="M690" i="1"/>
  <c r="M679" i="1"/>
  <c r="M704" i="1"/>
  <c r="Y738" i="1"/>
  <c r="G23" i="9"/>
  <c r="M700" i="1"/>
  <c r="M691" i="1"/>
  <c r="M683" i="1"/>
  <c r="M685" i="1"/>
  <c r="M678" i="1"/>
  <c r="M707" i="1"/>
  <c r="M701" i="1"/>
  <c r="M684" i="1"/>
  <c r="M669" i="1"/>
  <c r="M703" i="1"/>
  <c r="M706" i="1"/>
  <c r="M699" i="1"/>
  <c r="M698" i="1"/>
  <c r="M670" i="1"/>
  <c r="M688" i="1"/>
  <c r="M695" i="1"/>
  <c r="Y747" i="1"/>
  <c r="I55" i="9"/>
  <c r="M713" i="1"/>
  <c r="M709" i="1"/>
  <c r="M712" i="1"/>
  <c r="M697" i="1"/>
  <c r="M689" i="1"/>
  <c r="M692" i="1"/>
  <c r="M708" i="1"/>
  <c r="M710" i="1"/>
  <c r="K715" i="1"/>
  <c r="M677" i="1"/>
  <c r="L715" i="1"/>
  <c r="M668" i="1"/>
  <c r="M686" i="1"/>
  <c r="M676" i="1"/>
  <c r="M674" i="1"/>
  <c r="M680" i="1"/>
  <c r="M694" i="1"/>
  <c r="L710" i="10"/>
  <c r="L706" i="10"/>
  <c r="L702" i="10"/>
  <c r="L698" i="10"/>
  <c r="L694" i="10"/>
  <c r="L690" i="10"/>
  <c r="L716" i="10"/>
  <c r="L711" i="10"/>
  <c r="L707" i="10"/>
  <c r="L703" i="10"/>
  <c r="L699" i="10"/>
  <c r="L695" i="10"/>
  <c r="M695" i="10" s="1"/>
  <c r="Z761" i="10" s="1"/>
  <c r="L691" i="10"/>
  <c r="L687" i="10"/>
  <c r="L712" i="10"/>
  <c r="L708" i="10"/>
  <c r="L704" i="10"/>
  <c r="L700" i="10"/>
  <c r="L696" i="10"/>
  <c r="L692" i="10"/>
  <c r="L688" i="10"/>
  <c r="L709" i="10"/>
  <c r="L693" i="10"/>
  <c r="L684" i="10"/>
  <c r="L680" i="10"/>
  <c r="L676" i="10"/>
  <c r="L672" i="10"/>
  <c r="L713" i="10"/>
  <c r="L697" i="10"/>
  <c r="L681" i="10"/>
  <c r="L677" i="10"/>
  <c r="L673" i="10"/>
  <c r="L669" i="10"/>
  <c r="L701" i="10"/>
  <c r="L686" i="10"/>
  <c r="L682" i="10"/>
  <c r="L678" i="10"/>
  <c r="L674" i="10"/>
  <c r="L670" i="10"/>
  <c r="L671" i="10"/>
  <c r="L689" i="10"/>
  <c r="L675" i="10"/>
  <c r="L668" i="10"/>
  <c r="L705" i="10"/>
  <c r="L685" i="10"/>
  <c r="L679" i="10"/>
  <c r="L683" i="10"/>
  <c r="K713" i="10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5" i="10"/>
  <c r="K683" i="10"/>
  <c r="K679" i="10"/>
  <c r="K675" i="10"/>
  <c r="K671" i="10"/>
  <c r="K700" i="10"/>
  <c r="K684" i="10"/>
  <c r="K680" i="10"/>
  <c r="K676" i="10"/>
  <c r="K672" i="10"/>
  <c r="K668" i="10"/>
  <c r="K704" i="10"/>
  <c r="K681" i="10"/>
  <c r="K677" i="10"/>
  <c r="K673" i="10"/>
  <c r="K669" i="10"/>
  <c r="K708" i="10"/>
  <c r="K674" i="10"/>
  <c r="K678" i="10"/>
  <c r="K688" i="10"/>
  <c r="K682" i="10"/>
  <c r="K692" i="10"/>
  <c r="K670" i="10"/>
  <c r="G87" i="9" l="1"/>
  <c r="Y752" i="1"/>
  <c r="Y774" i="1"/>
  <c r="H183" i="9"/>
  <c r="F215" i="9"/>
  <c r="Y779" i="1"/>
  <c r="Y764" i="1"/>
  <c r="E151" i="9"/>
  <c r="H151" i="9"/>
  <c r="Y767" i="1"/>
  <c r="G151" i="9"/>
  <c r="Y766" i="1"/>
  <c r="C55" i="9"/>
  <c r="Y741" i="1"/>
  <c r="I151" i="9"/>
  <c r="Y768" i="1"/>
  <c r="Y758" i="1"/>
  <c r="F119" i="9"/>
  <c r="F151" i="9"/>
  <c r="Y765" i="1"/>
  <c r="Y773" i="1"/>
  <c r="G183" i="9"/>
  <c r="D215" i="9"/>
  <c r="Y777" i="1"/>
  <c r="Y759" i="1"/>
  <c r="G119" i="9"/>
  <c r="Y760" i="1"/>
  <c r="H119" i="9"/>
  <c r="Y755" i="1"/>
  <c r="C119" i="9"/>
  <c r="Y772" i="1"/>
  <c r="F183" i="9"/>
  <c r="F55" i="9"/>
  <c r="Y744" i="1"/>
  <c r="Y739" i="1"/>
  <c r="H23" i="9"/>
  <c r="H55" i="9"/>
  <c r="Y746" i="1"/>
  <c r="Y743" i="1"/>
  <c r="E55" i="9"/>
  <c r="Y763" i="1"/>
  <c r="D151" i="9"/>
  <c r="I119" i="9"/>
  <c r="Y761" i="1"/>
  <c r="C183" i="9"/>
  <c r="Y769" i="1"/>
  <c r="F87" i="9"/>
  <c r="Y751" i="1"/>
  <c r="D183" i="9"/>
  <c r="Y770" i="1"/>
  <c r="C151" i="9"/>
  <c r="Y762" i="1"/>
  <c r="Y734" i="1"/>
  <c r="M715" i="1"/>
  <c r="C23" i="9"/>
  <c r="Y740" i="1"/>
  <c r="I23" i="9"/>
  <c r="E215" i="9"/>
  <c r="Y778" i="1"/>
  <c r="I87" i="9"/>
  <c r="Y754" i="1"/>
  <c r="D23" i="9"/>
  <c r="Y735" i="1"/>
  <c r="Y749" i="1"/>
  <c r="D87" i="9"/>
  <c r="G55" i="9"/>
  <c r="Y745" i="1"/>
  <c r="F23" i="9"/>
  <c r="Y737" i="1"/>
  <c r="Y742" i="1"/>
  <c r="D55" i="9"/>
  <c r="Y776" i="1"/>
  <c r="C215" i="9"/>
  <c r="I183" i="9"/>
  <c r="Y775" i="1"/>
  <c r="E23" i="9"/>
  <c r="Y736" i="1"/>
  <c r="E87" i="9"/>
  <c r="Y750" i="1"/>
  <c r="E119" i="9"/>
  <c r="Y757" i="1"/>
  <c r="Y756" i="1"/>
  <c r="D119" i="9"/>
  <c r="Y748" i="1"/>
  <c r="C87" i="9"/>
  <c r="M698" i="10"/>
  <c r="Z764" i="10" s="1"/>
  <c r="M684" i="10"/>
  <c r="Z750" i="10" s="1"/>
  <c r="M705" i="10"/>
  <c r="Z771" i="10" s="1"/>
  <c r="M673" i="10"/>
  <c r="Z739" i="10" s="1"/>
  <c r="M692" i="10"/>
  <c r="Z758" i="10" s="1"/>
  <c r="M711" i="10"/>
  <c r="Z777" i="10" s="1"/>
  <c r="M682" i="10"/>
  <c r="Z748" i="10" s="1"/>
  <c r="M708" i="10"/>
  <c r="Z774" i="10" s="1"/>
  <c r="M683" i="10"/>
  <c r="Z749" i="10" s="1"/>
  <c r="L715" i="10"/>
  <c r="M668" i="10"/>
  <c r="M670" i="10"/>
  <c r="Z736" i="10" s="1"/>
  <c r="M686" i="10"/>
  <c r="Z752" i="10" s="1"/>
  <c r="M677" i="10"/>
  <c r="Z743" i="10" s="1"/>
  <c r="M672" i="10"/>
  <c r="Z738" i="10" s="1"/>
  <c r="M693" i="10"/>
  <c r="Z759" i="10" s="1"/>
  <c r="M696" i="10"/>
  <c r="Z762" i="10" s="1"/>
  <c r="M712" i="10"/>
  <c r="Z778" i="10" s="1"/>
  <c r="M699" i="10"/>
  <c r="Z765" i="10" s="1"/>
  <c r="M702" i="10"/>
  <c r="Z768" i="10" s="1"/>
  <c r="M671" i="10"/>
  <c r="Z737" i="10" s="1"/>
  <c r="M713" i="10"/>
  <c r="K715" i="10"/>
  <c r="M679" i="10"/>
  <c r="Z745" i="10" s="1"/>
  <c r="M675" i="10"/>
  <c r="Z741" i="10" s="1"/>
  <c r="M674" i="10"/>
  <c r="Z740" i="10" s="1"/>
  <c r="M701" i="10"/>
  <c r="Z767" i="10" s="1"/>
  <c r="M681" i="10"/>
  <c r="Z747" i="10" s="1"/>
  <c r="M676" i="10"/>
  <c r="Z742" i="10" s="1"/>
  <c r="M709" i="10"/>
  <c r="Z775" i="10" s="1"/>
  <c r="M700" i="10"/>
  <c r="Z766" i="10" s="1"/>
  <c r="M687" i="10"/>
  <c r="Z753" i="10" s="1"/>
  <c r="M703" i="10"/>
  <c r="Z769" i="10" s="1"/>
  <c r="M690" i="10"/>
  <c r="Z756" i="10" s="1"/>
  <c r="M706" i="10"/>
  <c r="Z772" i="10" s="1"/>
  <c r="M685" i="10"/>
  <c r="Z751" i="10" s="1"/>
  <c r="M689" i="10"/>
  <c r="Z755" i="10" s="1"/>
  <c r="M678" i="10"/>
  <c r="Z744" i="10" s="1"/>
  <c r="M669" i="10"/>
  <c r="Z735" i="10" s="1"/>
  <c r="M697" i="10"/>
  <c r="Z763" i="10" s="1"/>
  <c r="M680" i="10"/>
  <c r="Z746" i="10" s="1"/>
  <c r="M688" i="10"/>
  <c r="Z754" i="10" s="1"/>
  <c r="M704" i="10"/>
  <c r="Z770" i="10" s="1"/>
  <c r="M691" i="10"/>
  <c r="Z757" i="10" s="1"/>
  <c r="M707" i="10"/>
  <c r="Z773" i="10" s="1"/>
  <c r="M694" i="10"/>
  <c r="Z760" i="10" s="1"/>
  <c r="M710" i="10"/>
  <c r="Z776" i="10" s="1"/>
  <c r="Y815" i="1" l="1"/>
  <c r="M715" i="10"/>
  <c r="Z815" i="10" s="1"/>
  <c r="Z734" i="10"/>
  <c r="Z814" i="10" s="1"/>
</calcChain>
</file>

<file path=xl/sharedStrings.xml><?xml version="1.0" encoding="utf-8"?>
<sst xmlns="http://schemas.openxmlformats.org/spreadsheetml/2006/main" count="4936" uniqueCount="1279">
  <si>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</si>
  <si>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</si>
  <si>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</si>
  <si>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</si>
  <si>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</si>
  <si>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</si>
  <si>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</si>
  <si>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</si>
  <si>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</si>
  <si>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</si>
  <si>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</si>
  <si>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</si>
  <si>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</si>
  <si>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</si>
  <si>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</si>
  <si>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</si>
  <si>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</si>
  <si>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</si>
  <si>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</si>
  <si>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</si>
  <si>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</si>
  <si>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</si>
  <si>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</si>
  <si>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</si>
  <si>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</si>
  <si>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</si>
  <si>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</si>
  <si>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</si>
  <si>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</si>
  <si>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</si>
  <si>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</si>
  <si>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</si>
  <si>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</si>
  <si>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</si>
  <si>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</si>
  <si>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</si>
  <si>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</si>
  <si>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</si>
  <si>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</si>
  <si>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</si>
  <si>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</si>
  <si>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</si>
  <si>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</si>
  <si>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</si>
  <si>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</si>
  <si>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</si>
  <si>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</si>
  <si>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</si>
  <si>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</si>
  <si>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</si>
  <si>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</si>
  <si>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</si>
  <si>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</si>
  <si>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</si>
  <si>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</si>
  <si>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</si>
  <si>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</si>
  <si>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</si>
  <si>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</si>
  <si>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</si>
  <si>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</si>
  <si>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</si>
  <si>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</si>
  <si>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</si>
  <si>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</si>
  <si>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</si>
  <si>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</si>
  <si>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</si>
  <si>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</si>
  <si>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</si>
  <si>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</si>
  <si>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</si>
  <si>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</si>
  <si>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</si>
  <si>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</si>
  <si>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</si>
  <si>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</si>
  <si>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</si>
  <si>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</si>
  <si>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</si>
  <si>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</si>
  <si>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</si>
  <si>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</si>
  <si>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</si>
  <si>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</si>
  <si>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</si>
  <si>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</si>
  <si>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</si>
  <si>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</si>
  <si>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</si>
  <si>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</si>
  <si>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</si>
  <si>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</si>
  <si>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</si>
  <si>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</si>
  <si>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</si>
  <si>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</si>
  <si>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</si>
  <si>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</si>
  <si>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</si>
  <si>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</si>
  <si>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</si>
  <si>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</si>
  <si>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</si>
  <si>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</si>
  <si>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</si>
  <si>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</si>
  <si>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</si>
  <si>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</si>
  <si>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</si>
  <si>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</si>
  <si>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</si>
  <si>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</si>
  <si>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</si>
  <si>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</si>
  <si>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</si>
  <si>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</si>
  <si>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</si>
  <si>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</si>
  <si>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</si>
  <si>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</si>
  <si>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</si>
  <si>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</si>
  <si>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</si>
  <si>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</si>
  <si>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</si>
  <si>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</si>
  <si>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</si>
  <si>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</si>
  <si>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</si>
  <si>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</si>
  <si>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</si>
  <si>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</si>
  <si>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</si>
  <si>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</si>
  <si>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</si>
  <si>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</si>
  <si>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</si>
  <si>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</si>
  <si>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</si>
  <si>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</si>
  <si>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</si>
  <si>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</si>
  <si>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</si>
  <si>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</si>
  <si>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</si>
  <si>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</si>
  <si>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</si>
  <si>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</si>
  <si>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</si>
  <si>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</si>
  <si>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</si>
  <si>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</si>
  <si>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</si>
  <si>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</si>
  <si>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</si>
  <si>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</si>
  <si>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</si>
  <si>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</si>
  <si>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</si>
  <si>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</si>
  <si>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</si>
  <si>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</si>
  <si>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</si>
  <si>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</si>
  <si>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</si>
  <si>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</si>
  <si>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</si>
  <si>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</si>
  <si>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</si>
  <si>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</si>
  <si>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</si>
  <si>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</si>
  <si>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</si>
  <si>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</si>
  <si>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</si>
  <si>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</si>
  <si>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</si>
  <si>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</si>
  <si>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</si>
  <si>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</si>
  <si>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</si>
  <si>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</si>
  <si>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</si>
  <si>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</si>
  <si>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</si>
  <si>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</si>
  <si>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</si>
  <si>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</si>
  <si>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</si>
  <si>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</si>
  <si>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</si>
  <si>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</si>
  <si>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</si>
  <si>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</si>
  <si>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</si>
  <si>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</si>
  <si>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</si>
  <si>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</si>
  <si>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</si>
  <si>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</si>
  <si>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</si>
  <si>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</si>
  <si>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</si>
  <si>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</si>
  <si>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</si>
  <si>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</si>
  <si>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</si>
  <si>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</si>
  <si>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</si>
  <si>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</si>
  <si>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</si>
  <si>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</si>
  <si>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</si>
  <si>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</si>
  <si>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</si>
  <si>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</si>
  <si>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</si>
  <si>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</si>
  <si>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</si>
  <si>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</si>
  <si>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</si>
  <si>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</si>
  <si>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</si>
  <si>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</si>
  <si>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</si>
  <si>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</si>
  <si>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</si>
  <si>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</si>
  <si>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</si>
  <si>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</si>
  <si>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</si>
  <si>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</si>
  <si>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</si>
  <si>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</si>
  <si>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</si>
  <si>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</si>
  <si>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</si>
  <si>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</si>
  <si>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</si>
  <si>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</si>
  <si>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</si>
  <si>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</si>
  <si>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</si>
  <si>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</si>
  <si>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</si>
  <si>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</si>
  <si>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</si>
  <si>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</si>
  <si>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</si>
  <si>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</si>
  <si>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</si>
  <si>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</si>
  <si>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</si>
  <si>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</si>
  <si>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</si>
  <si>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</si>
  <si>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</si>
  <si>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</si>
  <si>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</si>
  <si>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</si>
  <si>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</si>
  <si>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</si>
  <si>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</si>
  <si>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</si>
  <si>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</si>
  <si>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</si>
  <si>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</si>
  <si>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</si>
  <si>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</si>
  <si>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</si>
  <si>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</si>
  <si>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</si>
  <si>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</si>
  <si>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</si>
  <si>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</si>
  <si>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</si>
  <si>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</si>
  <si>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</si>
  <si>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</si>
  <si>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</si>
  <si>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</si>
  <si>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</si>
  <si>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</si>
  <si>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</si>
  <si>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</si>
  <si>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</si>
  <si>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</si>
  <si>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</si>
  <si>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</si>
  <si>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</si>
  <si>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</si>
  <si>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</si>
  <si>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</si>
  <si>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</si>
  <si>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</si>
  <si>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</si>
  <si>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</si>
  <si>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</si>
  <si>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</si>
  <si>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</si>
  <si>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</si>
  <si>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</si>
  <si>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</si>
  <si>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</si>
  <si>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</si>
  <si>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</si>
  <si>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</si>
  <si>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</si>
  <si>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</si>
  <si>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</si>
  <si>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</si>
  <si>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</si>
  <si>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</si>
  <si>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</si>
  <si>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</si>
  <si>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</si>
  <si>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</si>
  <si>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</si>
  <si>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</si>
  <si>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</si>
  <si>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</si>
  <si>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</si>
  <si>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</si>
  <si>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</si>
  <si>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</si>
  <si>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</si>
  <si>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</si>
  <si>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</si>
  <si>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</si>
  <si>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</si>
  <si>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</si>
  <si>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</si>
  <si>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</si>
  <si>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</si>
  <si>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</si>
  <si>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</si>
  <si>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</si>
  <si>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</si>
  <si>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</si>
  <si>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</si>
  <si>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</si>
  <si>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</si>
  <si>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</si>
  <si>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</si>
  <si>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</si>
  <si>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</si>
  <si>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</si>
  <si>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</si>
  <si>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</si>
  <si>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</si>
  <si>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</si>
  <si>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</si>
  <si>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</si>
  <si>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</si>
  <si>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</si>
  <si>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</si>
  <si>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</si>
  <si>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</si>
  <si>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</si>
  <si>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</si>
  <si>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</si>
  <si>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</si>
  <si>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</si>
  <si>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</si>
  <si>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</si>
  <si>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</si>
  <si>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</si>
  <si>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</si>
  <si>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</si>
  <si>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</si>
  <si>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</si>
  <si>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</si>
  <si>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</si>
  <si>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</si>
  <si>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</si>
  <si>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</si>
  <si>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</si>
  <si>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</si>
  <si>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</si>
  <si>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</si>
  <si>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</si>
  <si>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</si>
  <si>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</si>
  <si>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</si>
  <si>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</si>
  <si>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</si>
  <si>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</si>
  <si>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</si>
  <si>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</si>
  <si>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</si>
  <si>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</si>
  <si>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</si>
  <si>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</si>
  <si>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</si>
  <si>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</si>
  <si>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</si>
  <si>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</si>
  <si>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</si>
  <si>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</si>
  <si>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</si>
  <si>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</si>
  <si>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</si>
  <si>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</si>
  <si>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</si>
  <si>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</si>
  <si>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</si>
  <si>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</si>
  <si>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</si>
  <si>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</si>
  <si>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</si>
  <si>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</si>
  <si>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</si>
  <si>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</si>
  <si>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</si>
  <si>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</si>
  <si>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</si>
  <si>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</si>
  <si>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</si>
  <si>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</si>
  <si>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</si>
  <si>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</si>
  <si>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</si>
  <si>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</si>
  <si>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</si>
  <si>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</si>
  <si>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</si>
  <si>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</si>
  <si>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</si>
  <si>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</si>
  <si>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</si>
  <si>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</si>
  <si>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</si>
  <si>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</si>
  <si>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</si>
  <si>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</si>
  <si>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</si>
  <si>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</si>
  <si>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</si>
  <si>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</si>
  <si>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</si>
  <si>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</si>
  <si>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</si>
  <si>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</si>
  <si>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</si>
  <si>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</si>
  <si>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</si>
  <si>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</si>
  <si>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</si>
  <si>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</si>
  <si>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</si>
  <si>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</si>
  <si>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</si>
  <si>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</si>
  <si>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</si>
  <si>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</si>
  <si>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</si>
  <si>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</si>
  <si>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</si>
  <si>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</si>
  <si>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</si>
  <si>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</si>
  <si>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</si>
  <si>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</si>
  <si>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</si>
  <si>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</si>
  <si>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</si>
  <si>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</si>
  <si>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</si>
  <si>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</si>
  <si>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</si>
  <si>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</si>
  <si>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</si>
  <si>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</si>
  <si>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</si>
  <si>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</si>
  <si>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</si>
  <si>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</si>
  <si>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</si>
  <si>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</si>
  <si>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</si>
  <si>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</si>
  <si>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</si>
  <si>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</si>
  <si>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</si>
  <si>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</si>
  <si>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</si>
  <si>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</si>
  <si>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</si>
  <si>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</si>
  <si>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</si>
  <si>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</si>
  <si>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</si>
  <si>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</si>
  <si>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</si>
  <si>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</si>
  <si>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</si>
  <si>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</si>
  <si>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</si>
  <si>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</si>
  <si>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</si>
  <si>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</si>
  <si>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</si>
  <si>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</si>
  <si>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</si>
  <si>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</si>
  <si>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</si>
  <si>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</si>
  <si>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</si>
  <si>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</si>
  <si>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</si>
  <si>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</si>
  <si>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</si>
  <si>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</si>
  <si>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</si>
  <si>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</si>
  <si>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</si>
  <si>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</si>
  <si>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</si>
  <si>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</si>
  <si>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</si>
  <si>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</si>
  <si>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</si>
  <si>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</si>
  <si>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</si>
  <si>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</si>
  <si>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</si>
  <si>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</si>
  <si>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</si>
  <si>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</si>
  <si>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</si>
  <si>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</si>
  <si>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</si>
  <si>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</si>
  <si>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</si>
  <si>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</si>
  <si>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</si>
  <si>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</si>
  <si>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</si>
  <si>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</si>
  <si>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</si>
  <si>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</si>
  <si>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</si>
  <si>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</si>
  <si>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</si>
  <si>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</si>
  <si>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</si>
  <si>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</si>
  <si>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</si>
  <si>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</si>
  <si>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</si>
  <si>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</si>
  <si>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</si>
  <si>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</si>
  <si>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</si>
  <si>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</si>
  <si>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</si>
  <si>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</si>
  <si>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</si>
  <si>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</si>
  <si>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</si>
  <si>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</si>
  <si>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</si>
  <si>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</si>
  <si>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</si>
  <si>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</si>
  <si>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</si>
  <si>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</si>
  <si>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</si>
  <si>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</si>
  <si>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</si>
  <si>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</si>
  <si>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</si>
  <si>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</si>
  <si>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</si>
  <si>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</si>
  <si>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</si>
  <si>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</si>
  <si>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</si>
  <si>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</si>
  <si>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</si>
  <si>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</si>
  <si>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</si>
  <si>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</si>
  <si>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</si>
  <si>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</si>
  <si>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</si>
  <si>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</si>
  <si>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</si>
  <si>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</si>
  <si>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</si>
  <si>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</si>
  <si>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</si>
  <si>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</si>
  <si>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</si>
  <si>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</si>
  <si>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</si>
  <si>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</si>
  <si>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</si>
  <si>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</si>
  <si>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</si>
  <si>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</si>
  <si>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</si>
  <si>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</si>
  <si>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</si>
  <si>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</si>
  <si>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</si>
  <si>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</si>
  <si>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</si>
  <si>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</si>
  <si>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</si>
  <si>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</si>
  <si>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</si>
  <si>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</si>
  <si>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</si>
  <si>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</si>
  <si>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</si>
  <si>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</si>
  <si>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</si>
  <si>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</si>
  <si>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</si>
  <si>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</si>
  <si>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</si>
  <si>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</si>
  <si>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</si>
  <si>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</si>
  <si>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</si>
  <si>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</si>
  <si>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</si>
  <si>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</si>
  <si>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</si>
  <si>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</si>
  <si>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</si>
  <si>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</si>
  <si>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</si>
  <si>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</si>
  <si>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</si>
  <si>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</si>
  <si>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</si>
  <si>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</si>
  <si>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</si>
  <si>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</si>
  <si>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</si>
  <si>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</si>
  <si>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</si>
  <si>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</si>
  <si>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</si>
  <si>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</si>
  <si>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</si>
  <si>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</si>
  <si>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</si>
  <si>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</si>
  <si>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</si>
  <si>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</si>
  <si>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</si>
  <si>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</si>
  <si>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</si>
  <si>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</si>
  <si>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</si>
  <si>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</si>
  <si>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</si>
  <si>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</si>
  <si>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</si>
  <si>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</si>
  <si>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</si>
  <si>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</si>
  <si>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</si>
  <si>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</si>
  <si>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</si>
  <si>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</si>
  <si>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</si>
  <si>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</si>
  <si>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</si>
  <si>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</si>
  <si>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</si>
  <si>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</si>
  <si>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</si>
  <si>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</si>
  <si>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</si>
  <si>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</si>
  <si>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</si>
  <si>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</si>
  <si>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</si>
  <si>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</si>
  <si>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</si>
  <si>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</si>
  <si>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</si>
  <si>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</si>
  <si>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</si>
  <si>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</si>
  <si>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</si>
  <si>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</si>
  <si>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</si>
  <si>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</si>
  <si>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</si>
  <si>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</si>
  <si>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</si>
  <si>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</si>
  <si>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</si>
  <si>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</si>
  <si>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</si>
  <si>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</si>
  <si>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</si>
  <si>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</si>
  <si>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</si>
  <si>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</si>
  <si>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</si>
  <si>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</si>
  <si>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</si>
  <si>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</si>
  <si>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</si>
  <si>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</si>
  <si>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</si>
  <si>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</si>
  <si>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</si>
  <si>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</si>
  <si>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</si>
  <si>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</si>
  <si>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</si>
  <si>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</si>
  <si>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</si>
  <si>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</si>
  <si>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</si>
  <si>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</si>
  <si>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</si>
  <si>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</si>
  <si>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</si>
  <si>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</si>
  <si>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</si>
  <si>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</si>
  <si>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</si>
  <si>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</si>
  <si>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</si>
  <si>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</si>
  <si>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</si>
  <si>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</si>
  <si>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</si>
  <si>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</si>
  <si>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</si>
  <si>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</si>
  <si>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</si>
  <si>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</si>
  <si>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</si>
  <si>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</si>
  <si>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</si>
  <si>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</si>
  <si>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</si>
  <si>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</si>
  <si>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</si>
  <si>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</si>
  <si>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</si>
  <si>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</si>
  <si>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</si>
  <si>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</si>
  <si>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</si>
  <si>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</si>
  <si>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</si>
  <si>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</si>
  <si>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</si>
  <si>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</si>
  <si>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</si>
  <si>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</si>
  <si>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</si>
  <si>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</si>
  <si>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</si>
  <si>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</si>
  <si>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</si>
  <si>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</si>
  <si>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</si>
  <si>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</si>
  <si>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</si>
  <si>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</si>
  <si>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</si>
  <si>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</si>
  <si>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</si>
  <si>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</si>
  <si>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</si>
  <si>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</si>
  <si>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</si>
  <si>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</si>
  <si>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</si>
  <si>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</si>
  <si>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</si>
  <si>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</si>
  <si>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</si>
  <si>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</si>
  <si>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</si>
  <si>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</si>
  <si>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</si>
  <si>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</si>
  <si>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</si>
  <si>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</si>
  <si>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</si>
  <si>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</si>
  <si>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</si>
  <si>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</si>
  <si>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</si>
  <si>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</si>
  <si>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</si>
  <si>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</si>
  <si>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</si>
  <si>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</si>
  <si>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</si>
  <si>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</si>
  <si>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</si>
  <si>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</si>
  <si>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</si>
  <si>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</si>
  <si>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</si>
  <si>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</si>
  <si>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</si>
  <si>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</si>
  <si>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</si>
  <si>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</si>
  <si>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</si>
  <si>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</si>
  <si>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</si>
  <si>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</si>
  <si>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</si>
  <si>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</si>
  <si>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</si>
  <si>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</si>
  <si>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</si>
  <si>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</si>
  <si>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</si>
  <si>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</si>
  <si>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</si>
  <si>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</si>
  <si>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</si>
  <si>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</si>
  <si>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</si>
  <si>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</si>
  <si>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</si>
  <si>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</si>
  <si>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</si>
  <si>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</si>
  <si>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</si>
  <si>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</si>
  <si>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</si>
  <si>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</si>
  <si>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</si>
  <si>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</si>
  <si>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</si>
  <si>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</si>
  <si>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</si>
  <si>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</si>
  <si>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</si>
  <si>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</si>
  <si>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</si>
  <si>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</si>
  <si>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</si>
  <si>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</si>
  <si>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</si>
  <si>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</si>
  <si>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</si>
  <si>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</si>
  <si>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</si>
  <si>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</si>
  <si>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</si>
  <si>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</si>
  <si>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</si>
  <si>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</si>
  <si>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</si>
  <si>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</si>
  <si>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</si>
  <si>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</si>
  <si>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</si>
  <si>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</si>
  <si>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</si>
  <si>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</si>
  <si>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</si>
  <si>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</si>
  <si>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</si>
  <si>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</si>
  <si>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</si>
  <si>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</si>
  <si>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</si>
  <si>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</si>
  <si>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</si>
  <si>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</si>
  <si>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</si>
  <si>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</si>
  <si>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</si>
  <si>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</si>
  <si>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</si>
  <si>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</si>
  <si>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</si>
  <si>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</si>
  <si>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</si>
  <si>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</si>
  <si>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</si>
  <si>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</si>
  <si>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</si>
  <si>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</si>
  <si>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</si>
  <si>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</si>
  <si>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</si>
  <si>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</si>
  <si>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</si>
  <si>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</si>
  <si>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</si>
  <si>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</si>
  <si>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</si>
  <si>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</si>
  <si>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</si>
  <si>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</si>
  <si>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</si>
  <si>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</si>
  <si>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</si>
  <si>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</si>
  <si>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</si>
  <si>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</si>
  <si>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</si>
  <si>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</si>
  <si>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</si>
  <si>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</si>
  <si>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</si>
  <si>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</si>
  <si>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</si>
  <si>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</si>
  <si>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</si>
  <si>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</si>
  <si>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</si>
  <si>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</si>
  <si>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</si>
  <si>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</si>
  <si>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</si>
  <si>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</si>
  <si>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</si>
  <si>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</si>
  <si>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</si>
  <si>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</si>
  <si>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</si>
  <si>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</si>
  <si>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</si>
  <si>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</si>
  <si>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</si>
  <si>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</si>
  <si>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</si>
  <si>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</si>
  <si>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</si>
  <si>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</si>
  <si>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</si>
  <si>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</si>
  <si>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</si>
  <si>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</si>
  <si>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</si>
  <si>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</si>
  <si>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</si>
  <si>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</si>
  <si>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</si>
  <si>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</si>
  <si>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</si>
  <si>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</si>
  <si>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</si>
  <si>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</si>
  <si>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</si>
  <si>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</si>
  <si>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</si>
  <si>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</si>
  <si>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</si>
  <si>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</si>
  <si>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</si>
  <si>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</si>
  <si>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</si>
  <si>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</si>
  <si>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</si>
  <si>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</si>
  <si>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</si>
  <si>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</si>
  <si>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</si>
  <si>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</si>
  <si>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</si>
  <si>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</si>
  <si>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</si>
  <si>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</si>
  <si>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</si>
  <si>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</si>
  <si>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</si>
  <si>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</si>
  <si>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</si>
  <si>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</si>
  <si>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</si>
  <si>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</si>
  <si>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</si>
  <si>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</si>
  <si>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</si>
  <si>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</si>
  <si>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</si>
  <si>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</si>
  <si>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</si>
  <si>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</si>
  <si>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</si>
  <si>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</si>
  <si>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</si>
  <si>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</si>
  <si>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</si>
  <si>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</si>
  <si>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</si>
  <si>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</si>
  <si>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</si>
  <si>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</si>
  <si>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</si>
  <si>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</si>
  <si>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</si>
  <si>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</si>
  <si>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</si>
  <si>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</si>
  <si>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</si>
  <si>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</si>
  <si>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</si>
  <si>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</si>
  <si>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</si>
  <si>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</si>
  <si>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</si>
  <si>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</si>
  <si>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</si>
  <si>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</si>
  <si>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</si>
  <si>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</si>
  <si>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</si>
  <si>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</si>
  <si>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</si>
  <si>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</si>
  <si>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</si>
  <si>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</si>
  <si>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</si>
  <si>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</si>
  <si>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</si>
  <si>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</si>
  <si>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</si>
  <si>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</si>
  <si>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</si>
  <si>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</si>
  <si>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</si>
  <si>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</si>
  <si>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</si>
  <si>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</si>
  <si>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</si>
  <si>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</si>
  <si>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</si>
  <si>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</si>
  <si>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</si>
  <si>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</si>
  <si>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</si>
  <si>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</si>
  <si>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</si>
  <si>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</si>
  <si>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</si>
  <si>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</si>
  <si>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</si>
  <si>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</si>
  <si>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</si>
  <si>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</si>
  <si>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</si>
  <si>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</si>
  <si>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</si>
  <si>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</si>
  <si>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</si>
  <si>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</si>
  <si>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</si>
  <si>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</si>
  <si>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</si>
  <si>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</si>
  <si>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</si>
  <si>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</si>
  <si>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</si>
  <si>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</si>
  <si>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</si>
  <si>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</si>
  <si>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</si>
  <si>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</si>
  <si>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</si>
  <si>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</si>
  <si>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</si>
  <si>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</si>
  <si>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</si>
  <si>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</si>
  <si>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</si>
  <si>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</si>
  <si>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</si>
  <si>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</si>
  <si>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</si>
  <si>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</si>
  <si>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</si>
  <si>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</si>
  <si>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</si>
  <si>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</si>
  <si>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</si>
  <si>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</si>
  <si>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</si>
  <si>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</si>
  <si>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</si>
  <si>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</si>
  <si>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</si>
  <si>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</si>
  <si>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</si>
  <si>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</si>
  <si>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</si>
  <si>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</si>
  <si>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</si>
  <si>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</si>
  <si>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</si>
  <si>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</si>
  <si>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</si>
  <si>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</si>
  <si>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</si>
  <si>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</si>
  <si>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</si>
  <si>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</si>
  <si>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</si>
  <si>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</si>
  <si>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</si>
  <si>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</si>
  <si>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</si>
  <si>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</si>
  <si>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</si>
  <si>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</si>
  <si>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</si>
  <si>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</si>
  <si>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</si>
  <si>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</si>
  <si>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</si>
  <si>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</si>
  <si>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</si>
  <si>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</si>
  <si>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</si>
  <si>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</si>
  <si>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</si>
  <si>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</si>
  <si>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</si>
  <si>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</si>
  <si>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</si>
  <si>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</si>
  <si>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</si>
  <si>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</si>
  <si>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</si>
  <si>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</si>
  <si>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</si>
  <si>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</si>
  <si>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</si>
  <si>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</si>
  <si>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</si>
  <si>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</si>
  <si>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</si>
  <si>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</si>
  <si>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</si>
  <si>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</si>
  <si>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</si>
  <si>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</si>
  <si>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</si>
  <si>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</si>
  <si>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</si>
  <si>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</si>
  <si>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</si>
  <si>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</si>
  <si>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</si>
  <si>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</si>
  <si>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</si>
  <si>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</si>
  <si>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</si>
  <si>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</si>
  <si>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</si>
  <si>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</si>
  <si>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</si>
  <si>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</si>
  <si>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</si>
  <si>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</si>
  <si>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</si>
  <si>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</si>
  <si>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</si>
  <si>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</si>
  <si>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</si>
  <si>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</si>
  <si>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</si>
  <si>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</si>
  <si>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</si>
  <si>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</si>
  <si>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</si>
  <si>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</si>
  <si>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</si>
  <si>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</si>
  <si>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</si>
  <si>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</si>
  <si>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</si>
  <si>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</si>
  <si>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</si>
  <si>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</si>
  <si>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</si>
  <si>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</si>
  <si>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</si>
  <si>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</si>
  <si>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</si>
  <si>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</si>
  <si>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</si>
  <si>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</si>
  <si>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</si>
  <si>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</si>
  <si>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</si>
  <si>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</si>
  <si>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</si>
  <si>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</si>
  <si>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</si>
  <si>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</si>
  <si>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</si>
  <si>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</si>
  <si>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</si>
  <si>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</si>
  <si>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</si>
  <si>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</si>
  <si>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</si>
  <si>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</si>
  <si>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</si>
  <si>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</si>
  <si>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</si>
  <si>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</si>
  <si>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</si>
  <si>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</si>
  <si>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</si>
  <si>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</si>
  <si>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</si>
  <si>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</si>
  <si>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</si>
  <si>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</si>
  <si>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</si>
  <si>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</si>
  <si>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</si>
  <si>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</si>
  <si>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</si>
  <si>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</si>
  <si>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</si>
  <si>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</si>
  <si>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</si>
  <si>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</si>
  <si>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</si>
  <si>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</si>
  <si>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</si>
  <si>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</si>
  <si>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</si>
  <si>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</si>
  <si>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</si>
  <si>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</si>
  <si>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</si>
  <si>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</si>
  <si>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</si>
  <si>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</si>
  <si>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</si>
  <si>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</si>
  <si>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</si>
  <si>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</si>
  <si>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</si>
  <si>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</si>
  <si>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</si>
  <si>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</si>
  <si>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</si>
  <si>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</si>
  <si>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</si>
  <si>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</si>
  <si>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</si>
  <si>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</si>
  <si>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</si>
  <si>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</si>
  <si>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</si>
  <si>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</si>
  <si>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</si>
  <si>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</si>
  <si>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</si>
  <si>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12/31/2019</t>
  </si>
  <si>
    <t>197</t>
  </si>
  <si>
    <t>Capital Medical Center</t>
  </si>
  <si>
    <t>3900 Capital Mall Drive SW</t>
  </si>
  <si>
    <t>Olympia, WA 98502</t>
  </si>
  <si>
    <t>Thurston</t>
  </si>
  <si>
    <t>Mark Turner</t>
  </si>
  <si>
    <t>Jennifer Weldon</t>
  </si>
  <si>
    <t>Stephen Snow, MD</t>
  </si>
  <si>
    <t>360-956-4737</t>
  </si>
  <si>
    <t>360-956-3540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</si>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</sst>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197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5905</v>
          </cell>
          <cell r="D59"/>
          <cell r="E59">
            <v>7199</v>
          </cell>
          <cell r="F59"/>
          <cell r="G59"/>
          <cell r="H59"/>
          <cell r="I59"/>
          <cell r="J59">
            <v>1030</v>
          </cell>
          <cell r="K59"/>
          <cell r="L59"/>
          <cell r="M59"/>
          <cell r="N59"/>
          <cell r="O59">
            <v>1291</v>
          </cell>
          <cell r="P59">
            <v>470107</v>
          </cell>
          <cell r="Q59">
            <v>320922</v>
          </cell>
          <cell r="R59">
            <v>491281</v>
          </cell>
          <cell r="U59">
            <v>240842</v>
          </cell>
          <cell r="V59"/>
          <cell r="W59">
            <v>860</v>
          </cell>
          <cell r="X59">
            <v>17518</v>
          </cell>
          <cell r="Y59">
            <v>29164</v>
          </cell>
          <cell r="Z59">
            <v>12993</v>
          </cell>
          <cell r="AA59">
            <v>2204</v>
          </cell>
          <cell r="AC59">
            <v>15183</v>
          </cell>
          <cell r="AD59"/>
          <cell r="AE59">
            <v>26876</v>
          </cell>
          <cell r="AF59"/>
          <cell r="AG59">
            <v>19802</v>
          </cell>
          <cell r="AH59"/>
          <cell r="AI59">
            <v>7642</v>
          </cell>
          <cell r="AJ59"/>
          <cell r="AK59">
            <v>5292</v>
          </cell>
          <cell r="AL59">
            <v>998</v>
          </cell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178174</v>
          </cell>
          <cell r="AZ59"/>
          <cell r="BA59"/>
          <cell r="BE59">
            <v>155374</v>
          </cell>
        </row>
        <row r="72">
          <cell r="C72">
            <v>6168621</v>
          </cell>
          <cell r="D72">
            <v>0</v>
          </cell>
          <cell r="E72">
            <v>4686386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231325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4123409</v>
          </cell>
          <cell r="P72">
            <v>5809304</v>
          </cell>
          <cell r="Q72">
            <v>1002863</v>
          </cell>
          <cell r="R72">
            <v>904672</v>
          </cell>
          <cell r="S72">
            <v>1159834</v>
          </cell>
          <cell r="T72">
            <v>193031</v>
          </cell>
          <cell r="U72">
            <v>3300570</v>
          </cell>
          <cell r="V72">
            <v>0</v>
          </cell>
          <cell r="W72">
            <v>338764</v>
          </cell>
          <cell r="X72">
            <v>1844387</v>
          </cell>
          <cell r="Y72">
            <v>4748648</v>
          </cell>
          <cell r="Z72">
            <v>1649625</v>
          </cell>
          <cell r="AA72">
            <v>240387</v>
          </cell>
          <cell r="AB72">
            <v>3954929</v>
          </cell>
          <cell r="AC72">
            <v>1178991.1600000001</v>
          </cell>
          <cell r="AD72">
            <v>0</v>
          </cell>
          <cell r="AE72">
            <v>1018394</v>
          </cell>
          <cell r="AF72">
            <v>0</v>
          </cell>
          <cell r="AG72">
            <v>3258609</v>
          </cell>
          <cell r="AH72">
            <v>0</v>
          </cell>
          <cell r="AI72">
            <v>2334228</v>
          </cell>
          <cell r="AJ72">
            <v>0</v>
          </cell>
          <cell r="AK72">
            <v>119740</v>
          </cell>
          <cell r="AL72">
            <v>64554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805396</v>
          </cell>
          <cell r="AW72">
            <v>0</v>
          </cell>
          <cell r="AX72">
            <v>0</v>
          </cell>
          <cell r="AY72">
            <v>1828446</v>
          </cell>
          <cell r="AZ72">
            <v>0</v>
          </cell>
          <cell r="BA72">
            <v>0</v>
          </cell>
          <cell r="BB72">
            <v>1097153</v>
          </cell>
          <cell r="BC72">
            <v>0</v>
          </cell>
          <cell r="BD72">
            <v>16159907.549999999</v>
          </cell>
          <cell r="BE72">
            <v>3744004</v>
          </cell>
          <cell r="BF72">
            <v>1331913</v>
          </cell>
          <cell r="BG72">
            <v>117219</v>
          </cell>
          <cell r="BH72">
            <v>2145193</v>
          </cell>
          <cell r="BI72">
            <v>10</v>
          </cell>
          <cell r="BJ72">
            <v>434953</v>
          </cell>
          <cell r="BK72">
            <v>3044945</v>
          </cell>
          <cell r="BL72">
            <v>151213</v>
          </cell>
          <cell r="BM72">
            <v>106582</v>
          </cell>
          <cell r="BN72">
            <v>5167647.29</v>
          </cell>
          <cell r="BO72">
            <v>0</v>
          </cell>
          <cell r="BP72">
            <v>371598</v>
          </cell>
          <cell r="BQ72">
            <v>0</v>
          </cell>
          <cell r="BR72">
            <v>619889</v>
          </cell>
          <cell r="BS72">
            <v>16925</v>
          </cell>
          <cell r="BT72">
            <v>0</v>
          </cell>
          <cell r="BU72">
            <v>0</v>
          </cell>
          <cell r="BV72">
            <v>1195704</v>
          </cell>
          <cell r="BW72">
            <v>106330</v>
          </cell>
          <cell r="BX72">
            <v>407348</v>
          </cell>
          <cell r="BY72">
            <v>822172</v>
          </cell>
          <cell r="BZ72">
            <v>0</v>
          </cell>
          <cell r="CA72">
            <v>251742.41</v>
          </cell>
          <cell r="CB72">
            <v>0</v>
          </cell>
          <cell r="CC72">
            <v>3036592</v>
          </cell>
          <cell r="CD72">
            <v>12650155</v>
          </cell>
        </row>
        <row r="83">
          <cell r="C83" t="str">
            <v>12/31/2018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232" transitionEvaluation="1" transitionEntry="1" codeName="Sheet1">
    <pageSetUpPr autoPageBreaks="0" fitToPage="1"/>
  </sheetPr>
  <dimension ref="A1:CF817"/>
  <sheetViews>
    <sheetView showGridLines="0" tabSelected="1" topLeftCell="A232" zoomScaleNormal="100" workbookViewId="0">
      <pane xSplit="2" topLeftCell="C1" activePane="topRight" state="frozen"/>
      <selection activeCell="A31" sqref="A31"/>
      <selection pane="topRight" activeCell="G135" sqref="G13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20" width="11.75" style="180"/>
    <col min="21" max="21" width="12.6875" style="180" bestFit="1" customWidth="1"/>
    <col min="22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1257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295"/>
      <c r="C15" s="236"/>
    </row>
    <row r="16" spans="1:6" ht="12.75" customHeight="1" x14ac:dyDescent="0.35">
      <c r="A16" s="296" t="s">
        <v>1266</v>
      </c>
      <c r="C16" s="236"/>
      <c r="F16" s="289"/>
    </row>
    <row r="17" spans="1:6" ht="12.75" customHeight="1" x14ac:dyDescent="0.35">
      <c r="A17" s="296" t="s">
        <v>1264</v>
      </c>
      <c r="C17" s="289"/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5">
      <c r="A21" s="199"/>
      <c r="C21" s="236"/>
    </row>
    <row r="22" spans="1:6" ht="12.65" customHeight="1" x14ac:dyDescent="0.35">
      <c r="A22" s="238" t="s">
        <v>1253</v>
      </c>
      <c r="B22" s="239"/>
      <c r="C22" s="240"/>
      <c r="D22" s="238"/>
      <c r="E22" s="238"/>
    </row>
    <row r="23" spans="1:6" ht="12.65" customHeight="1" x14ac:dyDescent="0.35">
      <c r="B23" s="199"/>
      <c r="C23" s="236"/>
    </row>
    <row r="24" spans="1:6" ht="12.65" customHeight="1" x14ac:dyDescent="0.35">
      <c r="A24" s="241" t="s">
        <v>3</v>
      </c>
      <c r="C24" s="236"/>
    </row>
    <row r="25" spans="1:6" ht="12.65" customHeight="1" x14ac:dyDescent="0.35">
      <c r="A25" s="198" t="s">
        <v>1234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1235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f>2729895.19-34515-145885</f>
        <v>2549495.19</v>
      </c>
      <c r="C47" s="184">
        <f>369603+14026</f>
        <v>383629</v>
      </c>
      <c r="D47" s="184"/>
      <c r="E47" s="184">
        <f>210349</f>
        <v>210349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185129</v>
      </c>
      <c r="P47" s="184">
        <f>95079</f>
        <v>95079</v>
      </c>
      <c r="Q47" s="184">
        <f>54848</f>
        <v>54848</v>
      </c>
      <c r="R47" s="184">
        <v>9390</v>
      </c>
      <c r="S47" s="184">
        <v>28161</v>
      </c>
      <c r="T47" s="184"/>
      <c r="U47" s="184">
        <f>108830+18</f>
        <v>108848</v>
      </c>
      <c r="V47" s="184"/>
      <c r="W47" s="184">
        <v>10798</v>
      </c>
      <c r="X47" s="184">
        <f>15584+17944</f>
        <v>33528</v>
      </c>
      <c r="Y47" s="184">
        <f>3550+80816+16397+70463+29812-9819+11705</f>
        <v>202924</v>
      </c>
      <c r="Z47" s="184">
        <f>41969</f>
        <v>41969</v>
      </c>
      <c r="AA47" s="184">
        <v>12287</v>
      </c>
      <c r="AB47" s="184">
        <f>82855+7470</f>
        <v>90325</v>
      </c>
      <c r="AC47" s="184">
        <f>14824+54085</f>
        <v>68909</v>
      </c>
      <c r="AD47" s="184"/>
      <c r="AE47" s="184">
        <f>44214</f>
        <v>44214</v>
      </c>
      <c r="AF47" s="184"/>
      <c r="AG47" s="184">
        <f>181612</f>
        <v>181612</v>
      </c>
      <c r="AH47" s="184"/>
      <c r="AI47" s="184">
        <f>89674+21332</f>
        <v>111006</v>
      </c>
      <c r="AJ47" s="184"/>
      <c r="AK47" s="184">
        <f>4799</f>
        <v>4799</v>
      </c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f>33761+39368-2</f>
        <v>73127</v>
      </c>
      <c r="AW47" s="184"/>
      <c r="AX47" s="184"/>
      <c r="AY47" s="184">
        <f>66716</f>
        <v>66716</v>
      </c>
      <c r="AZ47" s="184"/>
      <c r="BA47" s="184"/>
      <c r="BB47" s="184">
        <f>11635+37242</f>
        <v>48877</v>
      </c>
      <c r="BC47" s="184"/>
      <c r="BD47" s="184">
        <f>30783</f>
        <v>30783</v>
      </c>
      <c r="BE47" s="184">
        <f>37407+19624</f>
        <v>57031</v>
      </c>
      <c r="BF47" s="184">
        <f>58130</f>
        <v>58130</v>
      </c>
      <c r="BG47" s="184">
        <f>6986</f>
        <v>6986</v>
      </c>
      <c r="BH47" s="184">
        <f>30730</f>
        <v>30730</v>
      </c>
      <c r="BI47" s="184"/>
      <c r="BJ47" s="184">
        <f>15341</f>
        <v>15341</v>
      </c>
      <c r="BK47" s="184"/>
      <c r="BL47" s="184">
        <f>58528+9017</f>
        <v>67545</v>
      </c>
      <c r="BM47" s="184"/>
      <c r="BN47" s="184">
        <f>28892+7669</f>
        <v>36561</v>
      </c>
      <c r="BO47" s="184"/>
      <c r="BP47" s="184">
        <f>3605</f>
        <v>3605</v>
      </c>
      <c r="BQ47" s="184"/>
      <c r="BR47" s="184">
        <f>18040+1888</f>
        <v>19928</v>
      </c>
      <c r="BS47" s="184"/>
      <c r="BT47" s="184"/>
      <c r="BU47" s="184"/>
      <c r="BV47" s="184">
        <v>41970</v>
      </c>
      <c r="BW47" s="184">
        <f>7717</f>
        <v>7717</v>
      </c>
      <c r="BX47" s="184">
        <v>14769</v>
      </c>
      <c r="BY47" s="184">
        <f>56921+22780</f>
        <v>79701</v>
      </c>
      <c r="BZ47" s="184"/>
      <c r="CA47" s="184">
        <f>12172</f>
        <v>12172</v>
      </c>
      <c r="CB47" s="184"/>
      <c r="CC47" s="184"/>
      <c r="CD47" s="195"/>
      <c r="CE47" s="195">
        <f>SUM(C47:CC47)</f>
        <v>2549493</v>
      </c>
    </row>
    <row r="48" spans="1:83" ht="12.65" customHeight="1" x14ac:dyDescent="0.35">
      <c r="A48" s="175" t="s">
        <v>205</v>
      </c>
      <c r="B48" s="183">
        <f>6548760.2-B47</f>
        <v>3999265.0100000002</v>
      </c>
      <c r="C48" s="246">
        <f>ROUND(((B48/CE61)*C61),0)</f>
        <v>567417</v>
      </c>
      <c r="D48" s="246">
        <f>ROUND(((B48/CE61)*D61),0)</f>
        <v>0</v>
      </c>
      <c r="E48" s="195">
        <f>ROUND(((B48/CE61)*E61),0)</f>
        <v>310204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271297</v>
      </c>
      <c r="P48" s="195">
        <f>ROUND(((B48/CE61)*P61),0)</f>
        <v>140204</v>
      </c>
      <c r="Q48" s="195">
        <f>ROUND(((B48/CE61)*Q61),0)</f>
        <v>79823</v>
      </c>
      <c r="R48" s="195">
        <f>ROUND(((B48/CE61)*R61),0)</f>
        <v>14748</v>
      </c>
      <c r="S48" s="195">
        <f>ROUND(((B48/CE61)*S61),0)</f>
        <v>41612</v>
      </c>
      <c r="T48" s="195">
        <f>ROUND(((B48/CE61)*T61),0)</f>
        <v>0</v>
      </c>
      <c r="U48" s="195">
        <f>ROUND(((B48/CE61)*U61),0)</f>
        <v>160490</v>
      </c>
      <c r="V48" s="195">
        <f>ROUND(((B48/CE61)*V61),0)</f>
        <v>0</v>
      </c>
      <c r="W48" s="195">
        <f>ROUND(((B48/CE61)*W61),0)</f>
        <v>16481</v>
      </c>
      <c r="X48" s="195">
        <f>ROUND(((B48/CE61)*X61),0)</f>
        <v>49406</v>
      </c>
      <c r="Y48" s="195">
        <f>ROUND(((B48/CE61)*Y61),0)</f>
        <v>313187</v>
      </c>
      <c r="Z48" s="195">
        <f>ROUND(((B48/CE61)*Z61),0)</f>
        <v>62067</v>
      </c>
      <c r="AA48" s="195">
        <f>ROUND(((B48/CE61)*AA61),0)</f>
        <v>17838</v>
      </c>
      <c r="AB48" s="195">
        <f>ROUND(((B48/CE61)*AB61),0)</f>
        <v>133955</v>
      </c>
      <c r="AC48" s="195">
        <f>ROUND(((B48/CE61)*AC61),0)</f>
        <v>101513</v>
      </c>
      <c r="AD48" s="195">
        <f>ROUND(((B48/CE61)*AD61),0)</f>
        <v>0</v>
      </c>
      <c r="AE48" s="195">
        <f>ROUND(((B48/CE61)*AE61),0)</f>
        <v>65643</v>
      </c>
      <c r="AF48" s="195">
        <f>ROUND(((B48/CE61)*AF61),0)</f>
        <v>0</v>
      </c>
      <c r="AG48" s="195">
        <f>ROUND(((B48/CE61)*AG61),0)</f>
        <v>276094</v>
      </c>
      <c r="AH48" s="195">
        <f>ROUND(((B48/CE61)*AH61),0)</f>
        <v>0</v>
      </c>
      <c r="AI48" s="195">
        <f>ROUND(((B48/CE61)*AI61),0)</f>
        <v>166236</v>
      </c>
      <c r="AJ48" s="195">
        <f>ROUND(((B48/CE61)*AJ61),0)</f>
        <v>0</v>
      </c>
      <c r="AK48" s="195">
        <f>ROUND(((B48/CE61)*AK61),0)</f>
        <v>6790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123562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100459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73710</v>
      </c>
      <c r="BC48" s="195">
        <f>ROUND(((B48/CE61)*BC61),0)</f>
        <v>0</v>
      </c>
      <c r="BD48" s="195">
        <f>ROUND(((B48/CE61)*BD61),0)</f>
        <v>46040</v>
      </c>
      <c r="BE48" s="195">
        <f>ROUND(((B48/CE61)*BE61),0)</f>
        <v>85379</v>
      </c>
      <c r="BF48" s="195">
        <f>ROUND(((B48/CE61)*BF61),0)</f>
        <v>85527</v>
      </c>
      <c r="BG48" s="195">
        <f>ROUND(((B48/CE61)*BG61),0)</f>
        <v>9912</v>
      </c>
      <c r="BH48" s="195">
        <f>ROUND(((B48/CE61)*BH61),0)</f>
        <v>45342</v>
      </c>
      <c r="BI48" s="195">
        <f>ROUND(((B48/CE61)*BI61),0)</f>
        <v>0</v>
      </c>
      <c r="BJ48" s="195">
        <f>ROUND(((B48/CE61)*BJ61),0)</f>
        <v>24597</v>
      </c>
      <c r="BK48" s="195">
        <f>ROUND(((B48/CE61)*BK61),0)</f>
        <v>0</v>
      </c>
      <c r="BL48" s="195">
        <f>ROUND(((B48/CE61)*BL61),0)</f>
        <v>98830</v>
      </c>
      <c r="BM48" s="195">
        <f>ROUND(((B48/CE61)*BM61),0)</f>
        <v>0</v>
      </c>
      <c r="BN48" s="195">
        <f>ROUND(((B48/CE61)*BN61),0)</f>
        <v>242254</v>
      </c>
      <c r="BO48" s="195">
        <f>ROUND(((B48/CE61)*BO61),0)</f>
        <v>0</v>
      </c>
      <c r="BP48" s="195">
        <f>ROUND(((B48/CE61)*BP61),0)</f>
        <v>5191</v>
      </c>
      <c r="BQ48" s="195">
        <f>ROUND(((B48/CE61)*BQ61),0)</f>
        <v>0</v>
      </c>
      <c r="BR48" s="195">
        <f>ROUND(((B48/CE61)*BR61),0)</f>
        <v>30661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65192</v>
      </c>
      <c r="BW48" s="195">
        <f>ROUND(((B48/CE61)*BW61),0)</f>
        <v>11161</v>
      </c>
      <c r="BX48" s="195">
        <f>ROUND(((B48/CE61)*BX61),0)</f>
        <v>22112</v>
      </c>
      <c r="BY48" s="195">
        <f>ROUND(((B48/CE61)*BY61),0)</f>
        <v>116593</v>
      </c>
      <c r="BZ48" s="195">
        <f>ROUND(((B48/CE61)*BZ61),0)</f>
        <v>0</v>
      </c>
      <c r="CA48" s="195">
        <f>ROUND(((B48/CE61)*CA61),0)</f>
        <v>17737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3999264</v>
      </c>
    </row>
    <row r="49" spans="1:84" ht="12.65" customHeight="1" x14ac:dyDescent="0.35">
      <c r="A49" s="175" t="s">
        <v>206</v>
      </c>
      <c r="B49" s="195">
        <f>B47+B48</f>
        <v>6548760.2000000002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5898153</v>
      </c>
      <c r="C52" s="195">
        <f>ROUND((B52/(CE76+CF76)*C76),0)</f>
        <v>319328</v>
      </c>
      <c r="D52" s="195">
        <f>ROUND((B52/(CE76+CF76)*D76),0)</f>
        <v>0</v>
      </c>
      <c r="E52" s="195">
        <f>ROUND((B52/(CE76+CF76)*E76),0)</f>
        <v>453634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27066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856210</v>
      </c>
      <c r="P52" s="195">
        <f>ROUND((B52/(CE76+CF76)*P76),0)</f>
        <v>85754</v>
      </c>
      <c r="Q52" s="195">
        <f>ROUND((B52/(CE76+CF76)*Q76),0)</f>
        <v>109024</v>
      </c>
      <c r="R52" s="195">
        <f>ROUND((B52/(CE76+CF76)*R76),0)</f>
        <v>13021</v>
      </c>
      <c r="S52" s="195">
        <f>ROUND((B52/(CE76+CF76)*S76),0)</f>
        <v>109593</v>
      </c>
      <c r="T52" s="195">
        <f>ROUND((B52/(CE76+CF76)*T76),0)</f>
        <v>0</v>
      </c>
      <c r="U52" s="195">
        <f>ROUND((B52/(CE76+CF76)*U76),0)</f>
        <v>104165</v>
      </c>
      <c r="V52" s="195">
        <f>ROUND((B52/(CE76+CF76)*V76),0)</f>
        <v>0</v>
      </c>
      <c r="W52" s="195">
        <f>ROUND((B52/(CE76+CF76)*W76),0)</f>
        <v>33482</v>
      </c>
      <c r="X52" s="195">
        <f>ROUND((B52/(CE76+CF76)*X76),0)</f>
        <v>227159</v>
      </c>
      <c r="Y52" s="195">
        <f>ROUND((B52/(CE76+CF76)*Y76),0)</f>
        <v>533770</v>
      </c>
      <c r="Z52" s="195">
        <f>ROUND((B52/(CE76+CF76)*Z76),0)</f>
        <v>191096</v>
      </c>
      <c r="AA52" s="195">
        <f>ROUND((B52/(CE76+CF76)*AA76),0)</f>
        <v>13818</v>
      </c>
      <c r="AB52" s="195">
        <f>ROUND((B52/(CE76+CF76)*AB76),0)</f>
        <v>47755</v>
      </c>
      <c r="AC52" s="195">
        <f>ROUND((B52/(CE76+CF76)*AC76),0)</f>
        <v>160765</v>
      </c>
      <c r="AD52" s="195">
        <f>ROUND((B52/(CE76+CF76)*AD76),0)</f>
        <v>0</v>
      </c>
      <c r="AE52" s="195">
        <f>ROUND((B52/(CE76+CF76)*AE76),0)</f>
        <v>159930</v>
      </c>
      <c r="AF52" s="195">
        <f>ROUND((B52/(CE76+CF76)*AF76),0)</f>
        <v>0</v>
      </c>
      <c r="AG52" s="195">
        <f>ROUND((B52/(CE76+CF76)*AG76),0)</f>
        <v>161258</v>
      </c>
      <c r="AH52" s="195">
        <f>ROUND((B52/(CE76+CF76)*AH76),0)</f>
        <v>0</v>
      </c>
      <c r="AI52" s="195">
        <f>ROUND((B52/(CE76+CF76)*AI76),0)</f>
        <v>189008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207988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28091</v>
      </c>
      <c r="BC52" s="195">
        <f>ROUND((B52/(CE76+CF76)*BC76),0)</f>
        <v>0</v>
      </c>
      <c r="BD52" s="195">
        <f>ROUND((B52/(CE76+CF76)*BD76),0)</f>
        <v>97370</v>
      </c>
      <c r="BE52" s="195">
        <f>ROUND((B52/(CE76+CF76)*BE76),0)</f>
        <v>1026390</v>
      </c>
      <c r="BF52" s="195">
        <f>ROUND((B52/(CE76+CF76)*BF76),0)</f>
        <v>86893</v>
      </c>
      <c r="BG52" s="195">
        <f>ROUND((B52/(CE76+CF76)*BG76),0)</f>
        <v>12793</v>
      </c>
      <c r="BH52" s="195">
        <f>ROUND((B52/(CE76+CF76)*BH76),0)</f>
        <v>28547</v>
      </c>
      <c r="BI52" s="195">
        <f>ROUND((B52/(CE76+CF76)*BI76),0)</f>
        <v>0</v>
      </c>
      <c r="BJ52" s="195">
        <f>ROUND((B52/(CE76+CF76)*BJ76),0)</f>
        <v>62066</v>
      </c>
      <c r="BK52" s="195">
        <f>ROUND((B52/(CE76+CF76)*BK76),0)</f>
        <v>0</v>
      </c>
      <c r="BL52" s="195">
        <f>ROUND((B52/(CE76+CF76)*BL76),0)</f>
        <v>68368</v>
      </c>
      <c r="BM52" s="195">
        <f>ROUND((B52/(CE76+CF76)*BM76),0)</f>
        <v>0</v>
      </c>
      <c r="BN52" s="195">
        <f>ROUND((B52/(CE76+CF76)*BN76),0)</f>
        <v>147099</v>
      </c>
      <c r="BO52" s="195">
        <f>ROUND((B52/(CE76+CF76)*BO76),0)</f>
        <v>0</v>
      </c>
      <c r="BP52" s="195">
        <f>ROUND((B52/(CE76+CF76)*BP76),0)</f>
        <v>27674</v>
      </c>
      <c r="BQ52" s="195">
        <f>ROUND((B52/(CE76+CF76)*BQ76),0)</f>
        <v>0</v>
      </c>
      <c r="BR52" s="195">
        <f>ROUND((B52/(CE76+CF76)*BR76),0)</f>
        <v>38454</v>
      </c>
      <c r="BS52" s="195">
        <f>ROUND((B52/(CE76+CF76)*BS76),0)</f>
        <v>10857</v>
      </c>
      <c r="BT52" s="195">
        <f>ROUND((B52/(CE76+CF76)*BT76),0)</f>
        <v>0</v>
      </c>
      <c r="BU52" s="195">
        <f>ROUND((B52/(CE76+CF76)*BU76),0)</f>
        <v>127359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3151</v>
      </c>
      <c r="BY52" s="195">
        <f>ROUND((B52/(CE76+CF76)*BY76),0)</f>
        <v>44225</v>
      </c>
      <c r="BZ52" s="195">
        <f>ROUND((B52/(CE76+CF76)*BZ76),0)</f>
        <v>0</v>
      </c>
      <c r="CA52" s="195">
        <f>ROUND((B52/(CE76+CF76)*CA76),0)</f>
        <v>84995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5898156</v>
      </c>
    </row>
    <row r="53" spans="1:84" ht="12.65" customHeight="1" x14ac:dyDescent="0.35">
      <c r="A53" s="175" t="s">
        <v>206</v>
      </c>
      <c r="B53" s="195">
        <f>B51+B52</f>
        <v>5898153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>
        <f>6446+31745</f>
        <v>38191</v>
      </c>
      <c r="D59" s="184"/>
      <c r="E59" s="184">
        <f>5379</f>
        <v>5379</v>
      </c>
      <c r="F59" s="184"/>
      <c r="G59" s="184"/>
      <c r="H59" s="184"/>
      <c r="I59" s="184"/>
      <c r="J59" s="184">
        <v>1066</v>
      </c>
      <c r="K59" s="184"/>
      <c r="L59" s="184"/>
      <c r="M59" s="184"/>
      <c r="N59" s="184"/>
      <c r="O59" s="184">
        <f>1298</f>
        <v>1298</v>
      </c>
      <c r="P59" s="185">
        <f>252863</f>
        <v>252863</v>
      </c>
      <c r="Q59" s="185">
        <f>207782</f>
        <v>207782</v>
      </c>
      <c r="R59" s="185">
        <v>306348</v>
      </c>
      <c r="S59" s="249"/>
      <c r="T59" s="249"/>
      <c r="U59" s="224">
        <f>196884+10099+2123</f>
        <v>209106</v>
      </c>
      <c r="V59" s="185"/>
      <c r="W59" s="185">
        <v>812</v>
      </c>
      <c r="X59" s="185">
        <f>7521+7429+882</f>
        <v>15832</v>
      </c>
      <c r="Y59" s="185">
        <f>2343+1100+5456+11998+3181+1035</f>
        <v>25113</v>
      </c>
      <c r="Z59" s="185">
        <v>15433</v>
      </c>
      <c r="AA59" s="185">
        <v>1077</v>
      </c>
      <c r="AB59" s="249"/>
      <c r="AC59" s="185">
        <f>1228+15735</f>
        <v>16963</v>
      </c>
      <c r="AD59" s="185"/>
      <c r="AE59" s="185">
        <f>19366</f>
        <v>19366</v>
      </c>
      <c r="AF59" s="185"/>
      <c r="AG59" s="185">
        <f>15301</f>
        <v>15301</v>
      </c>
      <c r="AH59" s="185"/>
      <c r="AI59" s="185">
        <f>6712+568</f>
        <v>7280</v>
      </c>
      <c r="AJ59" s="185"/>
      <c r="AK59" s="185">
        <f>2715</f>
        <v>2715</v>
      </c>
      <c r="AL59" s="185">
        <f>798</f>
        <v>798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>
        <v>39775</v>
      </c>
      <c r="AZ59" s="185"/>
      <c r="BA59" s="249"/>
      <c r="BB59" s="249"/>
      <c r="BC59" s="249"/>
      <c r="BD59" s="249"/>
      <c r="BE59" s="185">
        <v>155374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>
        <f>55.9+4.04</f>
        <v>59.94</v>
      </c>
      <c r="D60" s="187"/>
      <c r="E60" s="184">
        <f>33.56</f>
        <v>33.56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f>22.32</f>
        <v>22.32</v>
      </c>
      <c r="P60" s="221">
        <v>18.3</v>
      </c>
      <c r="Q60" s="221">
        <v>5.27</v>
      </c>
      <c r="R60" s="221">
        <v>1.61</v>
      </c>
      <c r="S60" s="221">
        <v>12.09</v>
      </c>
      <c r="T60" s="221"/>
      <c r="U60" s="221">
        <v>19.37</v>
      </c>
      <c r="V60" s="221"/>
      <c r="W60" s="221">
        <v>1.22</v>
      </c>
      <c r="X60" s="221">
        <f>2.15+2.64</f>
        <v>4.79</v>
      </c>
      <c r="Y60" s="221">
        <f>0.74+10.19+2.81+9.87+3.54+1.18</f>
        <v>28.33</v>
      </c>
      <c r="Z60" s="221">
        <v>5.86</v>
      </c>
      <c r="AA60" s="221">
        <v>1.1599999999999999</v>
      </c>
      <c r="AB60" s="221">
        <f>11.01+0.86</f>
        <v>11.87</v>
      </c>
      <c r="AC60" s="221">
        <f>2.01+8.64</f>
        <v>10.65</v>
      </c>
      <c r="AD60" s="221"/>
      <c r="AE60" s="221">
        <f>7.67</f>
        <v>7.67</v>
      </c>
      <c r="AF60" s="221"/>
      <c r="AG60" s="221">
        <v>22.17</v>
      </c>
      <c r="AH60" s="221"/>
      <c r="AI60" s="221">
        <f>14.05+2.05</f>
        <v>16.100000000000001</v>
      </c>
      <c r="AJ60" s="221"/>
      <c r="AK60" s="221">
        <v>0.54</v>
      </c>
      <c r="AL60" s="221">
        <v>0.44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f>4.75+6.87+0.06</f>
        <v>11.680000000000001</v>
      </c>
      <c r="AW60" s="221"/>
      <c r="AX60" s="221"/>
      <c r="AY60" s="221">
        <v>18.3</v>
      </c>
      <c r="AZ60" s="221"/>
      <c r="BA60" s="221"/>
      <c r="BB60" s="221">
        <f>1.4+5.89</f>
        <v>7.2899999999999991</v>
      </c>
      <c r="BC60" s="221"/>
      <c r="BD60" s="221">
        <v>6.8</v>
      </c>
      <c r="BE60" s="221">
        <f>7.03+5.54</f>
        <v>12.57</v>
      </c>
      <c r="BF60" s="221">
        <v>18.940000000000001</v>
      </c>
      <c r="BG60" s="221">
        <v>2.38</v>
      </c>
      <c r="BH60" s="221">
        <v>4.91</v>
      </c>
      <c r="BI60" s="221"/>
      <c r="BJ60" s="221">
        <v>3.76</v>
      </c>
      <c r="BK60" s="221"/>
      <c r="BL60" s="221">
        <f>16.63+2.24</f>
        <v>18.869999999999997</v>
      </c>
      <c r="BM60" s="221"/>
      <c r="BN60" s="221">
        <f>7.63+1.01</f>
        <v>8.64</v>
      </c>
      <c r="BO60" s="221"/>
      <c r="BP60" s="221">
        <v>0.76</v>
      </c>
      <c r="BQ60" s="221"/>
      <c r="BR60" s="221">
        <f>3.18+0.53</f>
        <v>3.71</v>
      </c>
      <c r="BS60" s="221"/>
      <c r="BT60" s="221"/>
      <c r="BU60" s="221"/>
      <c r="BV60" s="221">
        <v>10.24</v>
      </c>
      <c r="BW60" s="221">
        <v>1.18</v>
      </c>
      <c r="BX60" s="221">
        <v>2.1</v>
      </c>
      <c r="BY60" s="221">
        <f>6.41+2.88</f>
        <v>9.2899999999999991</v>
      </c>
      <c r="BZ60" s="221"/>
      <c r="CA60" s="221">
        <v>1.39</v>
      </c>
      <c r="CB60" s="221"/>
      <c r="CC60" s="221"/>
      <c r="CD60" s="250" t="s">
        <v>221</v>
      </c>
      <c r="CE60" s="252">
        <f t="shared" ref="CE60:CE70" si="0">SUM(C60:CD60)</f>
        <v>426.07000000000011</v>
      </c>
    </row>
    <row r="61" spans="1:84" ht="12.65" customHeight="1" x14ac:dyDescent="0.35">
      <c r="A61" s="171" t="s">
        <v>235</v>
      </c>
      <c r="B61" s="175"/>
      <c r="C61" s="184">
        <f>5063409+201328</f>
        <v>5264737</v>
      </c>
      <c r="D61" s="184"/>
      <c r="E61" s="184">
        <f>2878201</f>
        <v>2878201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f>2517206</f>
        <v>2517206</v>
      </c>
      <c r="P61" s="185">
        <f>1300874</f>
        <v>1300874</v>
      </c>
      <c r="Q61" s="185">
        <v>740633</v>
      </c>
      <c r="R61" s="185">
        <f>136839</f>
        <v>136839</v>
      </c>
      <c r="S61" s="185">
        <v>386098</v>
      </c>
      <c r="T61" s="185"/>
      <c r="U61" s="185">
        <f>1488851+242</f>
        <v>1489093</v>
      </c>
      <c r="V61" s="185"/>
      <c r="W61" s="185">
        <v>152918</v>
      </c>
      <c r="X61" s="185">
        <f>210157+248256</f>
        <v>458413</v>
      </c>
      <c r="Y61" s="185">
        <f>48313+1101896+224371+952651+427548+151099</f>
        <v>2905878</v>
      </c>
      <c r="Z61" s="185">
        <f>575882</f>
        <v>575882</v>
      </c>
      <c r="AA61" s="185">
        <f>165513</f>
        <v>165513</v>
      </c>
      <c r="AB61" s="185">
        <f>1131817+111078</f>
        <v>1242895</v>
      </c>
      <c r="AC61" s="185">
        <f>202774+739104</f>
        <v>941878</v>
      </c>
      <c r="AD61" s="185"/>
      <c r="AE61" s="185">
        <f>609066</f>
        <v>609066</v>
      </c>
      <c r="AF61" s="185"/>
      <c r="AG61" s="185">
        <f>2561720</f>
        <v>2561720</v>
      </c>
      <c r="AH61" s="185"/>
      <c r="AI61" s="185">
        <f>1253749+288657</f>
        <v>1542406</v>
      </c>
      <c r="AJ61" s="185"/>
      <c r="AK61" s="185">
        <f>63002</f>
        <v>63002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448502+680175+2448+1944+13395</f>
        <v>1146464</v>
      </c>
      <c r="AW61" s="185"/>
      <c r="AX61" s="185"/>
      <c r="AY61" s="185">
        <f>932104</f>
        <v>932104</v>
      </c>
      <c r="AZ61" s="185"/>
      <c r="BA61" s="185"/>
      <c r="BB61" s="185">
        <f>164483+519432</f>
        <v>683915</v>
      </c>
      <c r="BC61" s="185"/>
      <c r="BD61" s="185">
        <f>427177</f>
        <v>427177</v>
      </c>
      <c r="BE61" s="185">
        <f>518440+273740</f>
        <v>792180</v>
      </c>
      <c r="BF61" s="185">
        <f>793556</f>
        <v>793556</v>
      </c>
      <c r="BG61" s="185">
        <f>91966</f>
        <v>91966</v>
      </c>
      <c r="BH61" s="185">
        <f>420702</f>
        <v>420702</v>
      </c>
      <c r="BI61" s="185"/>
      <c r="BJ61" s="185">
        <f>228222</f>
        <v>228222</v>
      </c>
      <c r="BK61" s="185"/>
      <c r="BL61" s="185">
        <f>791117+125868</f>
        <v>916985</v>
      </c>
      <c r="BM61" s="185"/>
      <c r="BN61" s="185">
        <f>2143113+104626</f>
        <v>2247739</v>
      </c>
      <c r="BO61" s="185"/>
      <c r="BP61" s="185">
        <f>48166</f>
        <v>48166</v>
      </c>
      <c r="BQ61" s="185"/>
      <c r="BR61" s="185">
        <f>258518+25968</f>
        <v>284486</v>
      </c>
      <c r="BS61" s="185"/>
      <c r="BT61" s="185"/>
      <c r="BU61" s="185"/>
      <c r="BV61" s="185">
        <f>604878</f>
        <v>604878</v>
      </c>
      <c r="BW61" s="185">
        <f>103558</f>
        <v>103558</v>
      </c>
      <c r="BX61" s="185">
        <f>205165</f>
        <v>205165</v>
      </c>
      <c r="BY61" s="185">
        <f>763807+317992</f>
        <v>1081799</v>
      </c>
      <c r="BZ61" s="185"/>
      <c r="CA61" s="185">
        <f>164569</f>
        <v>164569</v>
      </c>
      <c r="CB61" s="185"/>
      <c r="CC61" s="185"/>
      <c r="CD61" s="250" t="s">
        <v>221</v>
      </c>
      <c r="CE61" s="195">
        <f t="shared" si="0"/>
        <v>37106883</v>
      </c>
      <c r="CF61" s="253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951046</v>
      </c>
      <c r="D62" s="195">
        <f t="shared" si="1"/>
        <v>0</v>
      </c>
      <c r="E62" s="195">
        <f t="shared" si="1"/>
        <v>520553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456426</v>
      </c>
      <c r="P62" s="195">
        <f t="shared" si="1"/>
        <v>235283</v>
      </c>
      <c r="Q62" s="195">
        <f t="shared" si="1"/>
        <v>134671</v>
      </c>
      <c r="R62" s="195">
        <f t="shared" si="1"/>
        <v>24138</v>
      </c>
      <c r="S62" s="195">
        <f t="shared" si="1"/>
        <v>69773</v>
      </c>
      <c r="T62" s="195">
        <f t="shared" si="1"/>
        <v>0</v>
      </c>
      <c r="U62" s="195">
        <f t="shared" si="1"/>
        <v>269338</v>
      </c>
      <c r="V62" s="195">
        <f t="shared" si="1"/>
        <v>0</v>
      </c>
      <c r="W62" s="195">
        <f t="shared" si="1"/>
        <v>27279</v>
      </c>
      <c r="X62" s="195">
        <f t="shared" si="1"/>
        <v>82934</v>
      </c>
      <c r="Y62" s="195">
        <f t="shared" si="1"/>
        <v>516111</v>
      </c>
      <c r="Z62" s="195">
        <f t="shared" si="1"/>
        <v>104036</v>
      </c>
      <c r="AA62" s="195">
        <f t="shared" si="1"/>
        <v>30125</v>
      </c>
      <c r="AB62" s="195">
        <f t="shared" si="1"/>
        <v>224280</v>
      </c>
      <c r="AC62" s="195">
        <f t="shared" si="1"/>
        <v>170422</v>
      </c>
      <c r="AD62" s="195">
        <f t="shared" si="1"/>
        <v>0</v>
      </c>
      <c r="AE62" s="195">
        <f t="shared" si="1"/>
        <v>109857</v>
      </c>
      <c r="AF62" s="195">
        <f t="shared" si="1"/>
        <v>0</v>
      </c>
      <c r="AG62" s="195">
        <f t="shared" si="1"/>
        <v>457706</v>
      </c>
      <c r="AH62" s="195">
        <f t="shared" si="1"/>
        <v>0</v>
      </c>
      <c r="AI62" s="195">
        <f t="shared" si="1"/>
        <v>277242</v>
      </c>
      <c r="AJ62" s="195">
        <f t="shared" si="1"/>
        <v>0</v>
      </c>
      <c r="AK62" s="195">
        <f t="shared" si="1"/>
        <v>11589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196689</v>
      </c>
      <c r="AW62" s="195">
        <f t="shared" si="1"/>
        <v>0</v>
      </c>
      <c r="AX62" s="195">
        <f t="shared" si="1"/>
        <v>0</v>
      </c>
      <c r="AY62" s="195">
        <f>ROUND(AY47+AY48,0)</f>
        <v>167175</v>
      </c>
      <c r="AZ62" s="195">
        <f>ROUND(AZ47+AZ48,0)</f>
        <v>0</v>
      </c>
      <c r="BA62" s="195">
        <f>ROUND(BA47+BA48,0)</f>
        <v>0</v>
      </c>
      <c r="BB62" s="195">
        <f t="shared" si="1"/>
        <v>122587</v>
      </c>
      <c r="BC62" s="195">
        <f t="shared" si="1"/>
        <v>0</v>
      </c>
      <c r="BD62" s="195">
        <f t="shared" si="1"/>
        <v>76823</v>
      </c>
      <c r="BE62" s="195">
        <f t="shared" si="1"/>
        <v>142410</v>
      </c>
      <c r="BF62" s="195">
        <f t="shared" si="1"/>
        <v>143657</v>
      </c>
      <c r="BG62" s="195">
        <f t="shared" si="1"/>
        <v>16898</v>
      </c>
      <c r="BH62" s="195">
        <f t="shared" si="1"/>
        <v>76072</v>
      </c>
      <c r="BI62" s="195">
        <f t="shared" si="1"/>
        <v>0</v>
      </c>
      <c r="BJ62" s="195">
        <f t="shared" si="1"/>
        <v>39938</v>
      </c>
      <c r="BK62" s="195">
        <f t="shared" si="1"/>
        <v>0</v>
      </c>
      <c r="BL62" s="195">
        <f t="shared" si="1"/>
        <v>166375</v>
      </c>
      <c r="BM62" s="195">
        <f t="shared" si="1"/>
        <v>0</v>
      </c>
      <c r="BN62" s="195">
        <f t="shared" si="1"/>
        <v>278815</v>
      </c>
      <c r="BO62" s="195">
        <f t="shared" ref="BO62:CC62" si="2">ROUND(BO47+BO48,0)</f>
        <v>0</v>
      </c>
      <c r="BP62" s="195">
        <f t="shared" si="2"/>
        <v>8796</v>
      </c>
      <c r="BQ62" s="195">
        <f t="shared" si="2"/>
        <v>0</v>
      </c>
      <c r="BR62" s="195">
        <f t="shared" si="2"/>
        <v>50589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107162</v>
      </c>
      <c r="BW62" s="195">
        <f t="shared" si="2"/>
        <v>18878</v>
      </c>
      <c r="BX62" s="195">
        <f t="shared" si="2"/>
        <v>36881</v>
      </c>
      <c r="BY62" s="195">
        <f t="shared" si="2"/>
        <v>196294</v>
      </c>
      <c r="BZ62" s="195">
        <f t="shared" si="2"/>
        <v>0</v>
      </c>
      <c r="CA62" s="195">
        <f t="shared" si="2"/>
        <v>29909</v>
      </c>
      <c r="CB62" s="195">
        <f t="shared" si="2"/>
        <v>0</v>
      </c>
      <c r="CC62" s="195">
        <f t="shared" si="2"/>
        <v>0</v>
      </c>
      <c r="CD62" s="250" t="s">
        <v>221</v>
      </c>
      <c r="CE62" s="195">
        <f t="shared" si="0"/>
        <v>6548757</v>
      </c>
      <c r="CF62" s="253"/>
    </row>
    <row r="63" spans="1:84" ht="12.65" customHeight="1" x14ac:dyDescent="0.35">
      <c r="A63" s="171" t="s">
        <v>236</v>
      </c>
      <c r="B63" s="175"/>
      <c r="C63" s="184">
        <f>535170</f>
        <v>535170</v>
      </c>
      <c r="D63" s="184"/>
      <c r="E63" s="184"/>
      <c r="F63" s="185"/>
      <c r="G63" s="184"/>
      <c r="H63" s="184"/>
      <c r="I63" s="185"/>
      <c r="J63" s="185">
        <f>503008</f>
        <v>503008</v>
      </c>
      <c r="K63" s="185"/>
      <c r="L63" s="185"/>
      <c r="M63" s="184"/>
      <c r="N63" s="184"/>
      <c r="O63" s="184">
        <f>84200</f>
        <v>84200</v>
      </c>
      <c r="P63" s="185">
        <f>201754</f>
        <v>201754</v>
      </c>
      <c r="Q63" s="185"/>
      <c r="R63" s="185">
        <v>1249867</v>
      </c>
      <c r="S63" s="185"/>
      <c r="T63" s="185"/>
      <c r="U63" s="185">
        <v>19107</v>
      </c>
      <c r="V63" s="185"/>
      <c r="W63" s="185"/>
      <c r="X63" s="185"/>
      <c r="Y63" s="185">
        <f>231000+12150+10875</f>
        <v>254025</v>
      </c>
      <c r="Z63" s="185"/>
      <c r="AA63" s="185"/>
      <c r="AB63" s="185"/>
      <c r="AC63" s="185">
        <f>32058</f>
        <v>32058</v>
      </c>
      <c r="AD63" s="185"/>
      <c r="AE63" s="185"/>
      <c r="AF63" s="185"/>
      <c r="AG63" s="185">
        <f>181723</f>
        <v>181723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f>24868+35970+1584135</f>
        <v>1644973</v>
      </c>
      <c r="AW63" s="185"/>
      <c r="AX63" s="185"/>
      <c r="AY63" s="185"/>
      <c r="AZ63" s="185"/>
      <c r="BA63" s="185"/>
      <c r="BB63" s="185">
        <f>54996</f>
        <v>54996</v>
      </c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>
        <v>44738</v>
      </c>
      <c r="BY63" s="185"/>
      <c r="BZ63" s="185"/>
      <c r="CA63" s="185"/>
      <c r="CB63" s="185"/>
      <c r="CC63" s="185"/>
      <c r="CD63" s="250" t="s">
        <v>221</v>
      </c>
      <c r="CE63" s="195">
        <f t="shared" si="0"/>
        <v>4805619</v>
      </c>
      <c r="CF63" s="253"/>
    </row>
    <row r="64" spans="1:84" ht="12.65" customHeight="1" x14ac:dyDescent="0.35">
      <c r="A64" s="171" t="s">
        <v>237</v>
      </c>
      <c r="B64" s="175"/>
      <c r="C64" s="184">
        <f>326202+7457+6627</f>
        <v>340286</v>
      </c>
      <c r="D64" s="184"/>
      <c r="E64" s="185">
        <f>197712</f>
        <v>197712</v>
      </c>
      <c r="F64" s="185"/>
      <c r="G64" s="184"/>
      <c r="H64" s="184"/>
      <c r="I64" s="185"/>
      <c r="J64" s="185">
        <f>16202</f>
        <v>16202</v>
      </c>
      <c r="K64" s="185"/>
      <c r="L64" s="185"/>
      <c r="M64" s="184"/>
      <c r="N64" s="184"/>
      <c r="O64" s="184">
        <f>216663</f>
        <v>216663</v>
      </c>
      <c r="P64" s="185">
        <f>1222557</f>
        <v>1222557</v>
      </c>
      <c r="Q64" s="185">
        <f>19621</f>
        <v>19621</v>
      </c>
      <c r="R64" s="185">
        <v>63289</v>
      </c>
      <c r="S64" s="185">
        <f>335893</f>
        <v>335893</v>
      </c>
      <c r="T64" s="185"/>
      <c r="U64" s="185">
        <f>607141+513328</f>
        <v>1120469</v>
      </c>
      <c r="V64" s="185"/>
      <c r="W64" s="185">
        <v>4408</v>
      </c>
      <c r="X64" s="185">
        <f>39751+16909+103</f>
        <v>56763</v>
      </c>
      <c r="Y64" s="185">
        <f>-21217+116660+16627-37098+9842+153</f>
        <v>84967</v>
      </c>
      <c r="Z64" s="185">
        <f>28954</f>
        <v>28954</v>
      </c>
      <c r="AA64" s="185">
        <v>24978</v>
      </c>
      <c r="AB64" s="185">
        <f>1415016+1536</f>
        <v>1416552</v>
      </c>
      <c r="AC64" s="185">
        <f>1152+77162</f>
        <v>78314</v>
      </c>
      <c r="AD64" s="185"/>
      <c r="AE64" s="185">
        <f>6559</f>
        <v>6559</v>
      </c>
      <c r="AF64" s="185"/>
      <c r="AG64" s="185">
        <f>238513</f>
        <v>238513</v>
      </c>
      <c r="AH64" s="185"/>
      <c r="AI64" s="185">
        <f>211832+59159</f>
        <v>270991</v>
      </c>
      <c r="AJ64" s="185"/>
      <c r="AK64" s="185">
        <f>2478</f>
        <v>2478</v>
      </c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80135+189800</f>
        <v>269935</v>
      </c>
      <c r="AW64" s="185"/>
      <c r="AX64" s="185"/>
      <c r="AY64" s="185">
        <f>493968</f>
        <v>493968</v>
      </c>
      <c r="AZ64" s="185"/>
      <c r="BA64" s="185"/>
      <c r="BB64" s="185">
        <f>3621</f>
        <v>3621</v>
      </c>
      <c r="BC64" s="185"/>
      <c r="BD64" s="185">
        <f>5813042-28241+2461824-11339</f>
        <v>8235286</v>
      </c>
      <c r="BE64" s="185">
        <f>-8104+4298</f>
        <v>-3806</v>
      </c>
      <c r="BF64" s="185">
        <f>105702</f>
        <v>105702</v>
      </c>
      <c r="BG64" s="185">
        <f>7</f>
        <v>7</v>
      </c>
      <c r="BH64" s="185">
        <f>80722</f>
        <v>80722</v>
      </c>
      <c r="BI64" s="185"/>
      <c r="BJ64" s="185">
        <f>4516</f>
        <v>4516</v>
      </c>
      <c r="BK64" s="185"/>
      <c r="BL64" s="185">
        <f>20384</f>
        <v>20384</v>
      </c>
      <c r="BM64" s="185"/>
      <c r="BN64" s="185">
        <f>11170-94+759</f>
        <v>11835</v>
      </c>
      <c r="BO64" s="185"/>
      <c r="BP64" s="185">
        <f>13964</f>
        <v>13964</v>
      </c>
      <c r="BQ64" s="185"/>
      <c r="BR64" s="185">
        <f>9259</f>
        <v>9259</v>
      </c>
      <c r="BS64" s="185"/>
      <c r="BT64" s="185"/>
      <c r="BU64" s="185"/>
      <c r="BV64" s="185">
        <f>10278</f>
        <v>10278</v>
      </c>
      <c r="BW64" s="185">
        <f>1324</f>
        <v>1324</v>
      </c>
      <c r="BX64" s="185">
        <f>8820</f>
        <v>8820</v>
      </c>
      <c r="BY64" s="185">
        <f>162+2400</f>
        <v>2562</v>
      </c>
      <c r="BZ64" s="185"/>
      <c r="CA64" s="185">
        <f>431</f>
        <v>431</v>
      </c>
      <c r="CB64" s="185"/>
      <c r="CC64" s="185"/>
      <c r="CD64" s="250" t="s">
        <v>221</v>
      </c>
      <c r="CE64" s="195">
        <f t="shared" si="0"/>
        <v>15014977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>
        <v>26309</v>
      </c>
      <c r="T65" s="185"/>
      <c r="U65" s="185"/>
      <c r="V65" s="185"/>
      <c r="W65" s="185"/>
      <c r="X65" s="185">
        <f>8530</f>
        <v>8530</v>
      </c>
      <c r="Y65" s="185">
        <v>73</v>
      </c>
      <c r="Z65" s="185"/>
      <c r="AA65" s="185"/>
      <c r="AB65" s="185"/>
      <c r="AC65" s="185"/>
      <c r="AD65" s="185"/>
      <c r="AE65" s="185">
        <f>2686</f>
        <v>2686</v>
      </c>
      <c r="AF65" s="185"/>
      <c r="AG65" s="185"/>
      <c r="AH65" s="185"/>
      <c r="AI65" s="185"/>
      <c r="AJ65" s="185"/>
      <c r="AK65" s="185">
        <f>256</f>
        <v>256</v>
      </c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f>664</f>
        <v>664</v>
      </c>
      <c r="AW65" s="185"/>
      <c r="AX65" s="185"/>
      <c r="AY65" s="185"/>
      <c r="AZ65" s="185"/>
      <c r="BA65" s="185"/>
      <c r="BB65" s="185"/>
      <c r="BC65" s="185"/>
      <c r="BD65" s="185"/>
      <c r="BE65" s="185">
        <f>883171</f>
        <v>883171</v>
      </c>
      <c r="BF65" s="185"/>
      <c r="BG65" s="185">
        <f>235604</f>
        <v>235604</v>
      </c>
      <c r="BH65" s="185"/>
      <c r="BI65" s="185"/>
      <c r="BJ65" s="185"/>
      <c r="BK65" s="185"/>
      <c r="BL65" s="185"/>
      <c r="BM65" s="185"/>
      <c r="BN65" s="185">
        <v>405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1157698</v>
      </c>
      <c r="CF65" s="253"/>
    </row>
    <row r="66" spans="1:84" ht="12.65" customHeight="1" x14ac:dyDescent="0.35">
      <c r="A66" s="171" t="s">
        <v>239</v>
      </c>
      <c r="B66" s="175"/>
      <c r="C66" s="184">
        <f>35642</f>
        <v>35642</v>
      </c>
      <c r="D66" s="184"/>
      <c r="E66" s="184">
        <f>6013</f>
        <v>6013</v>
      </c>
      <c r="F66" s="184"/>
      <c r="G66" s="184"/>
      <c r="H66" s="184"/>
      <c r="I66" s="184"/>
      <c r="J66" s="184">
        <f>75817</f>
        <v>75817</v>
      </c>
      <c r="K66" s="185"/>
      <c r="L66" s="185"/>
      <c r="M66" s="184"/>
      <c r="N66" s="184"/>
      <c r="O66" s="185">
        <f>1167</f>
        <v>1167</v>
      </c>
      <c r="P66" s="185">
        <f>307696</f>
        <v>307696</v>
      </c>
      <c r="Q66" s="185">
        <v>2</v>
      </c>
      <c r="R66" s="185">
        <v>13</v>
      </c>
      <c r="S66" s="184">
        <v>533425</v>
      </c>
      <c r="T66" s="184"/>
      <c r="U66" s="185">
        <f>9765+475557+15741</f>
        <v>501063</v>
      </c>
      <c r="V66" s="185"/>
      <c r="W66" s="185"/>
      <c r="X66" s="185">
        <f>887+66181+409812</f>
        <v>476880</v>
      </c>
      <c r="Y66" s="185">
        <f>5094+1195+378+118+10</f>
        <v>6795</v>
      </c>
      <c r="Z66" s="185">
        <v>410002</v>
      </c>
      <c r="AA66" s="185">
        <f>995</f>
        <v>995</v>
      </c>
      <c r="AB66" s="185">
        <f>70666+80</f>
        <v>70746</v>
      </c>
      <c r="AC66" s="185">
        <f>4148</f>
        <v>4148</v>
      </c>
      <c r="AD66" s="185"/>
      <c r="AE66" s="185">
        <f>13707</f>
        <v>13707</v>
      </c>
      <c r="AF66" s="185"/>
      <c r="AG66" s="185">
        <v>47212</v>
      </c>
      <c r="AH66" s="185"/>
      <c r="AI66" s="185">
        <f>975+41</f>
        <v>1016</v>
      </c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1065927+374073+1459</f>
        <v>1441459</v>
      </c>
      <c r="AW66" s="185"/>
      <c r="AX66" s="185"/>
      <c r="AY66" s="185">
        <f>5021</f>
        <v>5021</v>
      </c>
      <c r="AZ66" s="185"/>
      <c r="BA66" s="185"/>
      <c r="BB66" s="185">
        <f>60333</f>
        <v>60333</v>
      </c>
      <c r="BC66" s="185"/>
      <c r="BD66" s="185">
        <f>17374</f>
        <v>17374</v>
      </c>
      <c r="BE66" s="185">
        <v>143530</v>
      </c>
      <c r="BF66" s="185">
        <f>191663+344457</f>
        <v>536120</v>
      </c>
      <c r="BG66" s="185">
        <f>3104</f>
        <v>3104</v>
      </c>
      <c r="BH66" s="185">
        <v>1828534</v>
      </c>
      <c r="BI66" s="185"/>
      <c r="BJ66" s="185">
        <f>5000</f>
        <v>5000</v>
      </c>
      <c r="BK66" s="185">
        <f>1769837</f>
        <v>1769837</v>
      </c>
      <c r="BL66" s="185">
        <f>48202</f>
        <v>48202</v>
      </c>
      <c r="BM66" s="185"/>
      <c r="BN66" s="185">
        <f>211704+390133</f>
        <v>601837</v>
      </c>
      <c r="BO66" s="185"/>
      <c r="BP66" s="185">
        <f>20803</f>
        <v>20803</v>
      </c>
      <c r="BQ66" s="185"/>
      <c r="BR66" s="185">
        <f>171037</f>
        <v>171037</v>
      </c>
      <c r="BS66" s="185"/>
      <c r="BT66" s="185"/>
      <c r="BU66" s="185"/>
      <c r="BV66" s="185">
        <f>4026+166040</f>
        <v>170066</v>
      </c>
      <c r="BW66" s="185">
        <f>67054</f>
        <v>67054</v>
      </c>
      <c r="BX66" s="185">
        <f>220833</f>
        <v>220833</v>
      </c>
      <c r="BY66" s="185">
        <f>450</f>
        <v>450</v>
      </c>
      <c r="BZ66" s="185"/>
      <c r="CA66" s="185"/>
      <c r="CB66" s="185"/>
      <c r="CC66" s="185"/>
      <c r="CD66" s="250" t="s">
        <v>221</v>
      </c>
      <c r="CE66" s="195">
        <f t="shared" si="0"/>
        <v>9602933</v>
      </c>
      <c r="CF66" s="253"/>
    </row>
    <row r="67" spans="1:84" ht="12.65" customHeight="1" x14ac:dyDescent="0.35">
      <c r="A67" s="171" t="s">
        <v>6</v>
      </c>
      <c r="B67" s="175"/>
      <c r="C67" s="195">
        <f>ROUND(C51+C52,0)</f>
        <v>319328</v>
      </c>
      <c r="D67" s="195">
        <f>ROUND(D51+D52,0)</f>
        <v>0</v>
      </c>
      <c r="E67" s="195">
        <f t="shared" ref="E67:BP67" si="3">ROUND(E51+E52,0)</f>
        <v>453634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27066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856210</v>
      </c>
      <c r="P67" s="195">
        <f t="shared" si="3"/>
        <v>85754</v>
      </c>
      <c r="Q67" s="195">
        <f t="shared" si="3"/>
        <v>109024</v>
      </c>
      <c r="R67" s="195">
        <f t="shared" si="3"/>
        <v>13021</v>
      </c>
      <c r="S67" s="195">
        <f t="shared" si="3"/>
        <v>109593</v>
      </c>
      <c r="T67" s="195">
        <f t="shared" si="3"/>
        <v>0</v>
      </c>
      <c r="U67" s="195">
        <f t="shared" si="3"/>
        <v>104165</v>
      </c>
      <c r="V67" s="195">
        <f t="shared" si="3"/>
        <v>0</v>
      </c>
      <c r="W67" s="195">
        <f t="shared" si="3"/>
        <v>33482</v>
      </c>
      <c r="X67" s="195">
        <f t="shared" si="3"/>
        <v>227159</v>
      </c>
      <c r="Y67" s="195">
        <f t="shared" si="3"/>
        <v>533770</v>
      </c>
      <c r="Z67" s="195">
        <f t="shared" si="3"/>
        <v>191096</v>
      </c>
      <c r="AA67" s="195">
        <f t="shared" si="3"/>
        <v>13818</v>
      </c>
      <c r="AB67" s="195">
        <f t="shared" si="3"/>
        <v>47755</v>
      </c>
      <c r="AC67" s="195">
        <f t="shared" si="3"/>
        <v>160765</v>
      </c>
      <c r="AD67" s="195">
        <f t="shared" si="3"/>
        <v>0</v>
      </c>
      <c r="AE67" s="195">
        <f t="shared" si="3"/>
        <v>159930</v>
      </c>
      <c r="AF67" s="195">
        <f t="shared" si="3"/>
        <v>0</v>
      </c>
      <c r="AG67" s="195">
        <f t="shared" si="3"/>
        <v>161258</v>
      </c>
      <c r="AH67" s="195">
        <f t="shared" si="3"/>
        <v>0</v>
      </c>
      <c r="AI67" s="195">
        <f t="shared" si="3"/>
        <v>189008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207988</v>
      </c>
      <c r="AZ67" s="195">
        <f>ROUND(AZ51+AZ52,0)</f>
        <v>0</v>
      </c>
      <c r="BA67" s="195">
        <f>ROUND(BA51+BA52,0)</f>
        <v>0</v>
      </c>
      <c r="BB67" s="195">
        <f t="shared" si="3"/>
        <v>28091</v>
      </c>
      <c r="BC67" s="195">
        <f t="shared" si="3"/>
        <v>0</v>
      </c>
      <c r="BD67" s="195">
        <f t="shared" si="3"/>
        <v>97370</v>
      </c>
      <c r="BE67" s="195">
        <f t="shared" si="3"/>
        <v>1026390</v>
      </c>
      <c r="BF67" s="195">
        <f t="shared" si="3"/>
        <v>86893</v>
      </c>
      <c r="BG67" s="195">
        <f t="shared" si="3"/>
        <v>12793</v>
      </c>
      <c r="BH67" s="195">
        <f t="shared" si="3"/>
        <v>28547</v>
      </c>
      <c r="BI67" s="195">
        <f t="shared" si="3"/>
        <v>0</v>
      </c>
      <c r="BJ67" s="195">
        <f t="shared" si="3"/>
        <v>62066</v>
      </c>
      <c r="BK67" s="195">
        <f t="shared" si="3"/>
        <v>0</v>
      </c>
      <c r="BL67" s="195">
        <f t="shared" si="3"/>
        <v>68368</v>
      </c>
      <c r="BM67" s="195">
        <f t="shared" si="3"/>
        <v>0</v>
      </c>
      <c r="BN67" s="195">
        <f t="shared" si="3"/>
        <v>147099</v>
      </c>
      <c r="BO67" s="195">
        <f t="shared" si="3"/>
        <v>0</v>
      </c>
      <c r="BP67" s="195">
        <f t="shared" si="3"/>
        <v>27674</v>
      </c>
      <c r="BQ67" s="195">
        <f t="shared" ref="BQ67:CC67" si="4">ROUND(BQ51+BQ52,0)</f>
        <v>0</v>
      </c>
      <c r="BR67" s="195">
        <f t="shared" si="4"/>
        <v>38454</v>
      </c>
      <c r="BS67" s="195">
        <f t="shared" si="4"/>
        <v>10857</v>
      </c>
      <c r="BT67" s="195">
        <f t="shared" si="4"/>
        <v>0</v>
      </c>
      <c r="BU67" s="195">
        <f t="shared" si="4"/>
        <v>127359</v>
      </c>
      <c r="BV67" s="195">
        <f t="shared" si="4"/>
        <v>0</v>
      </c>
      <c r="BW67" s="195">
        <f t="shared" si="4"/>
        <v>0</v>
      </c>
      <c r="BX67" s="195">
        <f t="shared" si="4"/>
        <v>3151</v>
      </c>
      <c r="BY67" s="195">
        <f t="shared" si="4"/>
        <v>44225</v>
      </c>
      <c r="BZ67" s="195">
        <f t="shared" si="4"/>
        <v>0</v>
      </c>
      <c r="CA67" s="195">
        <f t="shared" si="4"/>
        <v>84995</v>
      </c>
      <c r="CB67" s="195">
        <f t="shared" si="4"/>
        <v>0</v>
      </c>
      <c r="CC67" s="195">
        <f t="shared" si="4"/>
        <v>0</v>
      </c>
      <c r="CD67" s="250" t="s">
        <v>221</v>
      </c>
      <c r="CE67" s="195">
        <f t="shared" si="0"/>
        <v>5898156</v>
      </c>
      <c r="CF67" s="253"/>
    </row>
    <row r="68" spans="1:84" ht="12.65" customHeight="1" x14ac:dyDescent="0.35">
      <c r="A68" s="171" t="s">
        <v>240</v>
      </c>
      <c r="B68" s="175"/>
      <c r="C68" s="184">
        <f>68158</f>
        <v>68158</v>
      </c>
      <c r="D68" s="184"/>
      <c r="E68" s="184">
        <f>55036</f>
        <v>55036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f>133</f>
        <v>133</v>
      </c>
      <c r="P68" s="185">
        <f>330384</f>
        <v>330384</v>
      </c>
      <c r="Q68" s="185"/>
      <c r="R68" s="185">
        <f>123809</f>
        <v>123809</v>
      </c>
      <c r="S68" s="185">
        <v>813264</v>
      </c>
      <c r="T68" s="185"/>
      <c r="U68" s="185">
        <f>167418</f>
        <v>167418</v>
      </c>
      <c r="V68" s="185"/>
      <c r="W68" s="185"/>
      <c r="X68" s="185">
        <f>3826+621431</f>
        <v>625257</v>
      </c>
      <c r="Y68" s="185">
        <f>7816+106+2780+51+329</f>
        <v>11082</v>
      </c>
      <c r="Z68" s="185">
        <f>1369</f>
        <v>1369</v>
      </c>
      <c r="AA68" s="185"/>
      <c r="AB68" s="185">
        <f>238320</f>
        <v>238320</v>
      </c>
      <c r="AC68" s="185">
        <f>131065</f>
        <v>131065</v>
      </c>
      <c r="AD68" s="185"/>
      <c r="AE68" s="185">
        <f>89870</f>
        <v>89870</v>
      </c>
      <c r="AF68" s="185"/>
      <c r="AG68" s="185">
        <f>8009</f>
        <v>8009</v>
      </c>
      <c r="AH68" s="185"/>
      <c r="AI68" s="185">
        <v>2</v>
      </c>
      <c r="AJ68" s="185"/>
      <c r="AK68" s="185">
        <v>5</v>
      </c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f>11659+8</f>
        <v>11667</v>
      </c>
      <c r="AW68" s="185"/>
      <c r="AX68" s="185"/>
      <c r="AY68" s="185"/>
      <c r="AZ68" s="185"/>
      <c r="BA68" s="185"/>
      <c r="BB68" s="185">
        <f>53</f>
        <v>53</v>
      </c>
      <c r="BC68" s="185"/>
      <c r="BD68" s="185">
        <f>3027</f>
        <v>3027</v>
      </c>
      <c r="BE68" s="185">
        <f>1602</f>
        <v>1602</v>
      </c>
      <c r="BF68" s="185"/>
      <c r="BG68" s="185"/>
      <c r="BH68" s="185"/>
      <c r="BI68" s="185"/>
      <c r="BJ68" s="185">
        <v>30</v>
      </c>
      <c r="BK68" s="185"/>
      <c r="BL68" s="185"/>
      <c r="BM68" s="185"/>
      <c r="BN68" s="185">
        <f>340366+110421</f>
        <v>450787</v>
      </c>
      <c r="BO68" s="185"/>
      <c r="BP68" s="185"/>
      <c r="BQ68" s="185"/>
      <c r="BR68" s="185">
        <v>17</v>
      </c>
      <c r="BS68" s="185"/>
      <c r="BT68" s="185"/>
      <c r="BU68" s="185"/>
      <c r="BV68" s="185">
        <f>55510</f>
        <v>55510</v>
      </c>
      <c r="BW68" s="185">
        <f>506</f>
        <v>506</v>
      </c>
      <c r="BX68" s="185"/>
      <c r="BY68" s="185">
        <f>672</f>
        <v>672</v>
      </c>
      <c r="BZ68" s="185"/>
      <c r="CA68" s="185"/>
      <c r="CB68" s="185"/>
      <c r="CC68" s="185"/>
      <c r="CD68" s="250" t="s">
        <v>221</v>
      </c>
      <c r="CE68" s="195">
        <f t="shared" si="0"/>
        <v>3187052</v>
      </c>
      <c r="CF68" s="253"/>
    </row>
    <row r="69" spans="1:84" ht="12.65" customHeight="1" x14ac:dyDescent="0.35">
      <c r="A69" s="171" t="s">
        <v>241</v>
      </c>
      <c r="B69" s="175"/>
      <c r="C69" s="184">
        <f>126216+44845+2931+1088+2278+20203</f>
        <v>197561</v>
      </c>
      <c r="D69" s="184"/>
      <c r="E69" s="185">
        <f>38794+12425+1517+152+118+1025</f>
        <v>54031</v>
      </c>
      <c r="F69" s="185"/>
      <c r="G69" s="184"/>
      <c r="H69" s="184"/>
      <c r="I69" s="185"/>
      <c r="J69" s="185">
        <f>739+514</f>
        <v>1253</v>
      </c>
      <c r="K69" s="185"/>
      <c r="L69" s="185"/>
      <c r="M69" s="184"/>
      <c r="N69" s="184"/>
      <c r="O69" s="184">
        <f>-2475+53037+627+750+552</f>
        <v>52491</v>
      </c>
      <c r="P69" s="185">
        <f>957036+5230+36935+3199+1635</f>
        <v>1004035</v>
      </c>
      <c r="Q69" s="185">
        <f>8626+15630</f>
        <v>24256</v>
      </c>
      <c r="R69" s="224">
        <f>7467+9737+547</f>
        <v>17751</v>
      </c>
      <c r="S69" s="185">
        <f>670148+484861+9760+59389+206+1277</f>
        <v>1225641</v>
      </c>
      <c r="T69" s="184"/>
      <c r="U69" s="185">
        <f>9214+87720+42863+675+1123+2291</f>
        <v>143886</v>
      </c>
      <c r="V69" s="185"/>
      <c r="W69" s="184">
        <f>1354+91412+32+2300</f>
        <v>95098</v>
      </c>
      <c r="X69" s="185">
        <f>79013+795+4957+24416+183256+537+32+2300-11987</f>
        <v>283319</v>
      </c>
      <c r="Y69" s="185">
        <f>76931+27+1440+85726+136078+203+34199+51+29853+82114+246261+531+435+2798+59044+34775+67+7771</f>
        <v>798304</v>
      </c>
      <c r="Z69" s="185">
        <f>276370+276+1546+16250+1595</f>
        <v>296037</v>
      </c>
      <c r="AA69" s="185">
        <f>19854-250+6211</f>
        <v>25815</v>
      </c>
      <c r="AB69" s="185">
        <f>31893+8664+299+17115+790</f>
        <v>58761</v>
      </c>
      <c r="AC69" s="185">
        <f>30337+17251+822+249</f>
        <v>48659</v>
      </c>
      <c r="AD69" s="185"/>
      <c r="AE69" s="185">
        <f>32590+2116+798+8690</f>
        <v>44194</v>
      </c>
      <c r="AF69" s="185"/>
      <c r="AG69" s="185">
        <f>100372+20245+2129+510+4240</f>
        <v>127496</v>
      </c>
      <c r="AH69" s="185"/>
      <c r="AI69" s="185">
        <f>5774+79+300+73119+146</f>
        <v>79418</v>
      </c>
      <c r="AJ69" s="185"/>
      <c r="AK69" s="185">
        <f>103</f>
        <v>103</v>
      </c>
      <c r="AL69" s="185">
        <f>56145</f>
        <v>56145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2458+1546+2222+4425+21878+700</f>
        <v>33229</v>
      </c>
      <c r="AW69" s="185"/>
      <c r="AX69" s="185"/>
      <c r="AY69" s="185">
        <f>24360+18973+123+3827+10828+2062</f>
        <v>60173</v>
      </c>
      <c r="AZ69" s="185"/>
      <c r="BA69" s="185"/>
      <c r="BB69" s="185">
        <f>360+13+21100+21350+17126</f>
        <v>59949</v>
      </c>
      <c r="BC69" s="185"/>
      <c r="BD69" s="185">
        <f>4111+1272+10898+147315+3267+85</f>
        <v>166948</v>
      </c>
      <c r="BE69" s="185">
        <f>74433+361985+2563+26135+75+2925+356+68+587+75</f>
        <v>469202</v>
      </c>
      <c r="BF69" s="185">
        <f>4054+40+1508</f>
        <v>5602</v>
      </c>
      <c r="BG69" s="185"/>
      <c r="BH69" s="224">
        <f>151697+170+44192+117013</f>
        <v>313072</v>
      </c>
      <c r="BI69" s="185"/>
      <c r="BJ69" s="185">
        <f>63989+360+29+9961+2586</f>
        <v>76925</v>
      </c>
      <c r="BK69" s="185">
        <v>-2</v>
      </c>
      <c r="BL69" s="185">
        <f>234850+51493</f>
        <v>286343</v>
      </c>
      <c r="BM69" s="185"/>
      <c r="BN69" s="185">
        <f>158+680499+320041+5062+30485+83522+182091+1259115+27723+99-27+2482+560263</f>
        <v>3151513</v>
      </c>
      <c r="BO69" s="185"/>
      <c r="BP69" s="185">
        <f>116665+1737+1418+415+3285</f>
        <v>123520</v>
      </c>
      <c r="BQ69" s="185"/>
      <c r="BR69" s="185">
        <f>6721+386+114+18754+355+176255</f>
        <v>202585</v>
      </c>
      <c r="BS69" s="185"/>
      <c r="BT69" s="185"/>
      <c r="BU69" s="185"/>
      <c r="BV69" s="185">
        <f>13+3340+780</f>
        <v>4133</v>
      </c>
      <c r="BW69" s="185">
        <f>15+106+235+3645</f>
        <v>4001</v>
      </c>
      <c r="BX69" s="185">
        <f>385+101193</f>
        <v>101578</v>
      </c>
      <c r="BY69" s="185">
        <f>340+530+6316+3500</f>
        <v>10686</v>
      </c>
      <c r="BZ69" s="185"/>
      <c r="CA69" s="185">
        <f>270+1512</f>
        <v>1782</v>
      </c>
      <c r="CB69" s="185"/>
      <c r="CC69" s="185"/>
      <c r="CD69" s="188">
        <v>13483429</v>
      </c>
      <c r="CE69" s="195">
        <f t="shared" si="0"/>
        <v>23188922</v>
      </c>
      <c r="CF69" s="253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557924</v>
      </c>
      <c r="CE70" s="195">
        <f t="shared" si="0"/>
        <v>557924</v>
      </c>
      <c r="CF70" s="253"/>
    </row>
    <row r="71" spans="1:84" ht="12.65" customHeight="1" x14ac:dyDescent="0.35">
      <c r="A71" s="171" t="s">
        <v>243</v>
      </c>
      <c r="B71" s="175"/>
      <c r="C71" s="195">
        <f>SUM(C61:C68)+C69-C70</f>
        <v>7711928</v>
      </c>
      <c r="D71" s="195">
        <f t="shared" ref="D71:AI71" si="5">SUM(D61:D69)-D70</f>
        <v>0</v>
      </c>
      <c r="E71" s="195">
        <f t="shared" si="5"/>
        <v>4165180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623346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4184496</v>
      </c>
      <c r="P71" s="195">
        <f t="shared" si="5"/>
        <v>4688337</v>
      </c>
      <c r="Q71" s="195">
        <f t="shared" si="5"/>
        <v>1028207</v>
      </c>
      <c r="R71" s="195">
        <f t="shared" si="5"/>
        <v>1628727</v>
      </c>
      <c r="S71" s="195">
        <f t="shared" si="5"/>
        <v>3499996</v>
      </c>
      <c r="T71" s="195">
        <f t="shared" si="5"/>
        <v>0</v>
      </c>
      <c r="U71" s="195">
        <f t="shared" si="5"/>
        <v>3814539</v>
      </c>
      <c r="V71" s="195">
        <f t="shared" si="5"/>
        <v>0</v>
      </c>
      <c r="W71" s="195">
        <f t="shared" si="5"/>
        <v>313185</v>
      </c>
      <c r="X71" s="195">
        <f t="shared" si="5"/>
        <v>2219255</v>
      </c>
      <c r="Y71" s="195">
        <f t="shared" si="5"/>
        <v>5111005</v>
      </c>
      <c r="Z71" s="195">
        <f t="shared" si="5"/>
        <v>1607376</v>
      </c>
      <c r="AA71" s="195">
        <f t="shared" si="5"/>
        <v>261244</v>
      </c>
      <c r="AB71" s="195">
        <f t="shared" si="5"/>
        <v>3299309</v>
      </c>
      <c r="AC71" s="195">
        <f t="shared" si="5"/>
        <v>1567309</v>
      </c>
      <c r="AD71" s="195">
        <f t="shared" si="5"/>
        <v>0</v>
      </c>
      <c r="AE71" s="195">
        <f t="shared" si="5"/>
        <v>1035869</v>
      </c>
      <c r="AF71" s="195">
        <f t="shared" si="5"/>
        <v>0</v>
      </c>
      <c r="AG71" s="195">
        <f t="shared" si="5"/>
        <v>3783637</v>
      </c>
      <c r="AH71" s="195">
        <f t="shared" si="5"/>
        <v>0</v>
      </c>
      <c r="AI71" s="195">
        <f t="shared" si="5"/>
        <v>2360083</v>
      </c>
      <c r="AJ71" s="195">
        <f t="shared" ref="AJ71:BO71" si="6">SUM(AJ61:AJ69)-AJ70</f>
        <v>0</v>
      </c>
      <c r="AK71" s="195">
        <f t="shared" si="6"/>
        <v>77433</v>
      </c>
      <c r="AL71" s="195">
        <f t="shared" si="6"/>
        <v>56145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4745080</v>
      </c>
      <c r="AW71" s="195">
        <f t="shared" si="6"/>
        <v>0</v>
      </c>
      <c r="AX71" s="195">
        <f t="shared" si="6"/>
        <v>0</v>
      </c>
      <c r="AY71" s="195">
        <f t="shared" si="6"/>
        <v>1866429</v>
      </c>
      <c r="AZ71" s="195">
        <f t="shared" si="6"/>
        <v>0</v>
      </c>
      <c r="BA71" s="195">
        <f t="shared" si="6"/>
        <v>0</v>
      </c>
      <c r="BB71" s="195">
        <f t="shared" si="6"/>
        <v>1013545</v>
      </c>
      <c r="BC71" s="195">
        <f t="shared" si="6"/>
        <v>0</v>
      </c>
      <c r="BD71" s="195">
        <f t="shared" si="6"/>
        <v>9024005</v>
      </c>
      <c r="BE71" s="195">
        <f t="shared" si="6"/>
        <v>3454679</v>
      </c>
      <c r="BF71" s="195">
        <f t="shared" si="6"/>
        <v>1671530</v>
      </c>
      <c r="BG71" s="195">
        <f t="shared" si="6"/>
        <v>360372</v>
      </c>
      <c r="BH71" s="195">
        <f t="shared" si="6"/>
        <v>2747649</v>
      </c>
      <c r="BI71" s="195">
        <f t="shared" si="6"/>
        <v>0</v>
      </c>
      <c r="BJ71" s="195">
        <f t="shared" si="6"/>
        <v>416697</v>
      </c>
      <c r="BK71" s="195">
        <f t="shared" si="6"/>
        <v>1769835</v>
      </c>
      <c r="BL71" s="195">
        <f t="shared" si="6"/>
        <v>1506657</v>
      </c>
      <c r="BM71" s="195">
        <f t="shared" si="6"/>
        <v>0</v>
      </c>
      <c r="BN71" s="195">
        <f t="shared" si="6"/>
        <v>6890030</v>
      </c>
      <c r="BO71" s="195">
        <f t="shared" si="6"/>
        <v>0</v>
      </c>
      <c r="BP71" s="195">
        <f t="shared" ref="BP71:CC71" si="7">SUM(BP61:BP69)-BP70</f>
        <v>242923</v>
      </c>
      <c r="BQ71" s="195">
        <f t="shared" si="7"/>
        <v>0</v>
      </c>
      <c r="BR71" s="195">
        <f t="shared" si="7"/>
        <v>756427</v>
      </c>
      <c r="BS71" s="195">
        <f t="shared" si="7"/>
        <v>10857</v>
      </c>
      <c r="BT71" s="195">
        <f t="shared" si="7"/>
        <v>0</v>
      </c>
      <c r="BU71" s="195">
        <f t="shared" si="7"/>
        <v>127359</v>
      </c>
      <c r="BV71" s="195">
        <f t="shared" si="7"/>
        <v>952027</v>
      </c>
      <c r="BW71" s="195">
        <f t="shared" si="7"/>
        <v>195321</v>
      </c>
      <c r="BX71" s="195">
        <f t="shared" si="7"/>
        <v>621166</v>
      </c>
      <c r="BY71" s="195">
        <f t="shared" si="7"/>
        <v>1336688</v>
      </c>
      <c r="BZ71" s="195">
        <f t="shared" si="7"/>
        <v>0</v>
      </c>
      <c r="CA71" s="195">
        <f t="shared" si="7"/>
        <v>281686</v>
      </c>
      <c r="CB71" s="195">
        <f t="shared" si="7"/>
        <v>0</v>
      </c>
      <c r="CC71" s="195">
        <f t="shared" si="7"/>
        <v>0</v>
      </c>
      <c r="CD71" s="246">
        <f>CD69-CD70</f>
        <v>12925505</v>
      </c>
      <c r="CE71" s="195">
        <f>SUM(CE61:CE69)-CE70</f>
        <v>105953073</v>
      </c>
      <c r="CF71" s="253"/>
    </row>
    <row r="72" spans="1:84" ht="12.65" customHeight="1" x14ac:dyDescent="0.3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5">
      <c r="A73" s="171" t="s">
        <v>245</v>
      </c>
      <c r="B73" s="175"/>
      <c r="C73" s="184">
        <f>32700503</f>
        <v>32700503</v>
      </c>
      <c r="D73" s="184"/>
      <c r="E73" s="185">
        <f>12501707+209124</f>
        <v>12710831</v>
      </c>
      <c r="F73" s="185"/>
      <c r="G73" s="184"/>
      <c r="H73" s="184"/>
      <c r="I73" s="185"/>
      <c r="J73" s="185">
        <f>3631396+3820</f>
        <v>3635216</v>
      </c>
      <c r="K73" s="185"/>
      <c r="L73" s="185"/>
      <c r="M73" s="184"/>
      <c r="N73" s="184"/>
      <c r="O73" s="184">
        <f>20369337</f>
        <v>20369337</v>
      </c>
      <c r="P73" s="185">
        <f>22767555+18900249+9867145+894+145201</f>
        <v>51681044</v>
      </c>
      <c r="Q73" s="185">
        <f>5548716</f>
        <v>5548716</v>
      </c>
      <c r="R73" s="185">
        <v>3935103</v>
      </c>
      <c r="S73" s="185"/>
      <c r="T73" s="185"/>
      <c r="U73" s="185">
        <f>18463635+800360+1846857</f>
        <v>21110852</v>
      </c>
      <c r="V73" s="185"/>
      <c r="W73" s="185">
        <v>1706816</v>
      </c>
      <c r="X73" s="185">
        <f>11043444+77656</f>
        <v>11121100</v>
      </c>
      <c r="Y73" s="185">
        <f>1557283+6180776+5619+2324292+350+4175286+315612</f>
        <v>14559218</v>
      </c>
      <c r="Z73" s="185">
        <f>271768</f>
        <v>271768</v>
      </c>
      <c r="AA73" s="185">
        <f>689862</f>
        <v>689862</v>
      </c>
      <c r="AB73" s="185">
        <f>10274394+1554</f>
        <v>10275948</v>
      </c>
      <c r="AC73" s="185">
        <f>4455+3668+6246594</f>
        <v>6254717</v>
      </c>
      <c r="AD73" s="185"/>
      <c r="AE73" s="185">
        <f>1509470</f>
        <v>1509470</v>
      </c>
      <c r="AF73" s="185"/>
      <c r="AG73" s="185">
        <f>9600071</f>
        <v>9600071</v>
      </c>
      <c r="AH73" s="185"/>
      <c r="AI73" s="185">
        <f>182241+1076786</f>
        <v>1259027</v>
      </c>
      <c r="AJ73" s="185"/>
      <c r="AK73" s="185">
        <f>316968</f>
        <v>316968</v>
      </c>
      <c r="AL73" s="185">
        <f>139600</f>
        <v>139600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6437</f>
        <v>6437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209402604</v>
      </c>
      <c r="CF73" s="253"/>
    </row>
    <row r="74" spans="1:84" ht="12.65" customHeight="1" x14ac:dyDescent="0.35">
      <c r="A74" s="171" t="s">
        <v>246</v>
      </c>
      <c r="B74" s="175"/>
      <c r="C74" s="184">
        <v>1585886</v>
      </c>
      <c r="D74" s="184"/>
      <c r="E74" s="185">
        <f>1594664</f>
        <v>1594664</v>
      </c>
      <c r="F74" s="185"/>
      <c r="G74" s="184"/>
      <c r="H74" s="184"/>
      <c r="I74" s="184"/>
      <c r="J74" s="185">
        <v>2079</v>
      </c>
      <c r="K74" s="185"/>
      <c r="L74" s="185"/>
      <c r="M74" s="184"/>
      <c r="N74" s="184"/>
      <c r="O74" s="184">
        <f>1194188</f>
        <v>1194188</v>
      </c>
      <c r="P74" s="185">
        <f>35872780+13332839+8188186</f>
        <v>57393805</v>
      </c>
      <c r="Q74" s="185">
        <v>11258177</v>
      </c>
      <c r="R74" s="185">
        <v>6964154</v>
      </c>
      <c r="S74" s="185"/>
      <c r="T74" s="185"/>
      <c r="U74" s="185">
        <f>18256932+1565409+965017</f>
        <v>20787358</v>
      </c>
      <c r="V74" s="185"/>
      <c r="W74" s="185">
        <v>3718490</v>
      </c>
      <c r="X74" s="185">
        <f>33447463+24364160+5969744</f>
        <v>63781367</v>
      </c>
      <c r="Y74" s="185">
        <f>3843142+6478565+5560000+7137254+5449452+1657600</f>
        <v>30126013</v>
      </c>
      <c r="Z74" s="185">
        <f>42079429</f>
        <v>42079429</v>
      </c>
      <c r="AA74" s="185">
        <f>2136124</f>
        <v>2136124</v>
      </c>
      <c r="AB74" s="185">
        <f>7463498+829953</f>
        <v>8293451</v>
      </c>
      <c r="AC74" s="185">
        <f>520629+3193777</f>
        <v>3714406</v>
      </c>
      <c r="AD74" s="185"/>
      <c r="AE74" s="185">
        <f>2124245</f>
        <v>2124245</v>
      </c>
      <c r="AF74" s="185"/>
      <c r="AG74" s="185">
        <f>37299525</f>
        <v>37299525</v>
      </c>
      <c r="AH74" s="185"/>
      <c r="AI74" s="185">
        <f>4004660+2269212</f>
        <v>6273872</v>
      </c>
      <c r="AJ74" s="185"/>
      <c r="AK74" s="185">
        <f>266417</f>
        <v>266417</v>
      </c>
      <c r="AL74" s="185">
        <f>237022</f>
        <v>237022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10932112</f>
        <v>10932112</v>
      </c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311762784</v>
      </c>
      <c r="CF74" s="253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34286389</v>
      </c>
      <c r="D75" s="195">
        <f t="shared" si="9"/>
        <v>0</v>
      </c>
      <c r="E75" s="195">
        <f t="shared" si="9"/>
        <v>14305495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3637295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21563525</v>
      </c>
      <c r="P75" s="195">
        <f t="shared" si="9"/>
        <v>109074849</v>
      </c>
      <c r="Q75" s="195">
        <f t="shared" si="9"/>
        <v>16806893</v>
      </c>
      <c r="R75" s="195">
        <f t="shared" si="9"/>
        <v>10899257</v>
      </c>
      <c r="S75" s="195">
        <f t="shared" si="9"/>
        <v>0</v>
      </c>
      <c r="T75" s="195">
        <f t="shared" si="9"/>
        <v>0</v>
      </c>
      <c r="U75" s="195">
        <f t="shared" si="9"/>
        <v>41898210</v>
      </c>
      <c r="V75" s="195">
        <f t="shared" si="9"/>
        <v>0</v>
      </c>
      <c r="W75" s="195">
        <f t="shared" si="9"/>
        <v>5425306</v>
      </c>
      <c r="X75" s="195">
        <f t="shared" si="9"/>
        <v>74902467</v>
      </c>
      <c r="Y75" s="195">
        <f t="shared" si="9"/>
        <v>44685231</v>
      </c>
      <c r="Z75" s="195">
        <f t="shared" si="9"/>
        <v>42351197</v>
      </c>
      <c r="AA75" s="195">
        <f t="shared" si="9"/>
        <v>2825986</v>
      </c>
      <c r="AB75" s="195">
        <f t="shared" si="9"/>
        <v>18569399</v>
      </c>
      <c r="AC75" s="195">
        <f t="shared" si="9"/>
        <v>9969123</v>
      </c>
      <c r="AD75" s="195">
        <f t="shared" si="9"/>
        <v>0</v>
      </c>
      <c r="AE75" s="195">
        <f t="shared" si="9"/>
        <v>3633715</v>
      </c>
      <c r="AF75" s="195">
        <f t="shared" si="9"/>
        <v>0</v>
      </c>
      <c r="AG75" s="195">
        <f t="shared" si="9"/>
        <v>46899596</v>
      </c>
      <c r="AH75" s="195">
        <f t="shared" si="9"/>
        <v>0</v>
      </c>
      <c r="AI75" s="195">
        <f t="shared" si="9"/>
        <v>7532899</v>
      </c>
      <c r="AJ75" s="195">
        <f t="shared" si="9"/>
        <v>0</v>
      </c>
      <c r="AK75" s="195">
        <f t="shared" si="9"/>
        <v>583385</v>
      </c>
      <c r="AL75" s="195">
        <f t="shared" si="9"/>
        <v>376622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10938549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521165388</v>
      </c>
      <c r="CF75" s="253"/>
    </row>
    <row r="76" spans="1:84" ht="12.65" customHeight="1" x14ac:dyDescent="0.35">
      <c r="A76" s="171" t="s">
        <v>248</v>
      </c>
      <c r="B76" s="175"/>
      <c r="C76" s="184">
        <v>8412</v>
      </c>
      <c r="D76" s="184"/>
      <c r="E76" s="185">
        <v>11950</v>
      </c>
      <c r="F76" s="185"/>
      <c r="G76" s="184"/>
      <c r="H76" s="184"/>
      <c r="I76" s="185"/>
      <c r="J76" s="185">
        <v>713</v>
      </c>
      <c r="K76" s="185"/>
      <c r="L76" s="185"/>
      <c r="M76" s="185"/>
      <c r="N76" s="185"/>
      <c r="O76" s="185">
        <v>22555</v>
      </c>
      <c r="P76" s="185">
        <v>2259</v>
      </c>
      <c r="Q76" s="185">
        <v>2872</v>
      </c>
      <c r="R76" s="185">
        <v>343</v>
      </c>
      <c r="S76" s="185">
        <v>2887</v>
      </c>
      <c r="T76" s="185"/>
      <c r="U76" s="185">
        <v>2744</v>
      </c>
      <c r="V76" s="185"/>
      <c r="W76" s="185">
        <v>882</v>
      </c>
      <c r="X76" s="185">
        <v>5984</v>
      </c>
      <c r="Y76" s="185">
        <v>14061</v>
      </c>
      <c r="Z76" s="185">
        <v>5034</v>
      </c>
      <c r="AA76" s="185">
        <v>364</v>
      </c>
      <c r="AB76" s="185">
        <v>1258</v>
      </c>
      <c r="AC76" s="185">
        <v>4235</v>
      </c>
      <c r="AD76" s="185"/>
      <c r="AE76" s="185">
        <v>4213</v>
      </c>
      <c r="AF76" s="185"/>
      <c r="AG76" s="185">
        <v>4248</v>
      </c>
      <c r="AH76" s="185"/>
      <c r="AI76" s="185">
        <v>4979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5479</v>
      </c>
      <c r="AZ76" s="185"/>
      <c r="BA76" s="185"/>
      <c r="BB76" s="185">
        <v>740</v>
      </c>
      <c r="BC76" s="185"/>
      <c r="BD76" s="185">
        <v>2565</v>
      </c>
      <c r="BE76" s="185">
        <v>27038</v>
      </c>
      <c r="BF76" s="185">
        <v>2289</v>
      </c>
      <c r="BG76" s="185">
        <v>337</v>
      </c>
      <c r="BH76" s="185">
        <v>752</v>
      </c>
      <c r="BI76" s="185"/>
      <c r="BJ76" s="185">
        <v>1635</v>
      </c>
      <c r="BK76" s="185"/>
      <c r="BL76" s="185">
        <v>1801</v>
      </c>
      <c r="BM76" s="185"/>
      <c r="BN76" s="185">
        <v>3875</v>
      </c>
      <c r="BO76" s="185"/>
      <c r="BP76" s="185">
        <v>729</v>
      </c>
      <c r="BQ76" s="185"/>
      <c r="BR76" s="185">
        <v>1013</v>
      </c>
      <c r="BS76" s="185">
        <v>286</v>
      </c>
      <c r="BT76" s="185"/>
      <c r="BU76" s="185">
        <v>3355</v>
      </c>
      <c r="BV76" s="185"/>
      <c r="BW76" s="185"/>
      <c r="BX76" s="185">
        <v>83</v>
      </c>
      <c r="BY76" s="185">
        <v>1165</v>
      </c>
      <c r="BZ76" s="185"/>
      <c r="CA76" s="185">
        <v>2239</v>
      </c>
      <c r="CB76" s="185"/>
      <c r="CC76" s="185"/>
      <c r="CD76" s="250" t="s">
        <v>221</v>
      </c>
      <c r="CE76" s="195">
        <f t="shared" si="8"/>
        <v>155374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18359.55</v>
      </c>
      <c r="D77" s="184"/>
      <c r="E77" s="184">
        <v>14556.97</v>
      </c>
      <c r="F77" s="184"/>
      <c r="G77" s="184"/>
      <c r="H77" s="184"/>
      <c r="I77" s="184"/>
      <c r="J77" s="184">
        <v>3040.86</v>
      </c>
      <c r="K77" s="184"/>
      <c r="L77" s="184"/>
      <c r="M77" s="184"/>
      <c r="N77" s="184"/>
      <c r="O77" s="184">
        <v>3817.63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0" t="s">
        <v>221</v>
      </c>
      <c r="AY77" s="250" t="s">
        <v>221</v>
      </c>
      <c r="AZ77" s="184"/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39775.009999999995</v>
      </c>
      <c r="CF77" s="195">
        <f>AY59-CE77</f>
        <v>-9.9999999947613105E-3</v>
      </c>
    </row>
    <row r="78" spans="1:84" ht="12.65" customHeight="1" x14ac:dyDescent="0.35">
      <c r="A78" s="171" t="s">
        <v>250</v>
      </c>
      <c r="B78" s="175"/>
      <c r="C78" s="184">
        <v>2144</v>
      </c>
      <c r="D78" s="184"/>
      <c r="E78" s="184">
        <v>3046</v>
      </c>
      <c r="F78" s="184"/>
      <c r="G78" s="184"/>
      <c r="H78" s="184"/>
      <c r="I78" s="184"/>
      <c r="J78" s="184">
        <v>182</v>
      </c>
      <c r="K78" s="184"/>
      <c r="L78" s="184"/>
      <c r="M78" s="184"/>
      <c r="N78" s="184"/>
      <c r="O78" s="184">
        <v>5749</v>
      </c>
      <c r="P78" s="184">
        <v>576</v>
      </c>
      <c r="Q78" s="184">
        <v>732</v>
      </c>
      <c r="R78" s="184">
        <v>87</v>
      </c>
      <c r="S78" s="184">
        <v>736</v>
      </c>
      <c r="T78" s="184"/>
      <c r="U78" s="184">
        <v>699</v>
      </c>
      <c r="V78" s="184"/>
      <c r="W78" s="184">
        <v>225</v>
      </c>
      <c r="X78" s="184">
        <v>1525</v>
      </c>
      <c r="Y78" s="184">
        <v>3584</v>
      </c>
      <c r="Z78" s="184">
        <v>1283</v>
      </c>
      <c r="AA78" s="184">
        <v>93</v>
      </c>
      <c r="AB78" s="184">
        <v>321</v>
      </c>
      <c r="AC78" s="184">
        <v>1079</v>
      </c>
      <c r="AD78" s="184"/>
      <c r="AE78" s="184">
        <v>1074</v>
      </c>
      <c r="AF78" s="184"/>
      <c r="AG78" s="184">
        <v>1083</v>
      </c>
      <c r="AH78" s="184"/>
      <c r="AI78" s="184">
        <v>1269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f>1397+654+6892+584+86+417+988+186+258-2</f>
        <v>11460</v>
      </c>
      <c r="AW78" s="184"/>
      <c r="AX78" s="250" t="s">
        <v>221</v>
      </c>
      <c r="AY78" s="250" t="s">
        <v>221</v>
      </c>
      <c r="AZ78" s="250" t="s">
        <v>221</v>
      </c>
      <c r="BA78" s="184"/>
      <c r="BB78" s="184">
        <v>189</v>
      </c>
      <c r="BC78" s="184"/>
      <c r="BD78" s="250" t="s">
        <v>221</v>
      </c>
      <c r="BE78" s="250" t="s">
        <v>221</v>
      </c>
      <c r="BF78" s="250" t="s">
        <v>221</v>
      </c>
      <c r="BG78" s="250" t="s">
        <v>221</v>
      </c>
      <c r="BH78" s="184">
        <v>192</v>
      </c>
      <c r="BI78" s="184"/>
      <c r="BJ78" s="250" t="s">
        <v>221</v>
      </c>
      <c r="BK78" s="184"/>
      <c r="BL78" s="184">
        <v>459</v>
      </c>
      <c r="BM78" s="184"/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>
        <v>73</v>
      </c>
      <c r="BT78" s="184"/>
      <c r="BU78" s="184"/>
      <c r="BV78" s="184">
        <v>855</v>
      </c>
      <c r="BW78" s="184"/>
      <c r="BX78" s="184">
        <v>21</v>
      </c>
      <c r="BY78" s="184">
        <v>297</v>
      </c>
      <c r="BZ78" s="184"/>
      <c r="CA78" s="184">
        <v>571</v>
      </c>
      <c r="CB78" s="184"/>
      <c r="CC78" s="250" t="s">
        <v>221</v>
      </c>
      <c r="CD78" s="250" t="s">
        <v>221</v>
      </c>
      <c r="CE78" s="195">
        <f t="shared" si="8"/>
        <v>39604</v>
      </c>
      <c r="CF78" s="195"/>
    </row>
    <row r="79" spans="1:84" ht="12.65" customHeight="1" x14ac:dyDescent="0.35">
      <c r="A79" s="171" t="s">
        <v>251</v>
      </c>
      <c r="B79" s="175"/>
      <c r="C79" s="225">
        <v>65369</v>
      </c>
      <c r="D79" s="225"/>
      <c r="E79" s="184">
        <v>120703</v>
      </c>
      <c r="F79" s="184"/>
      <c r="G79" s="184"/>
      <c r="H79" s="184"/>
      <c r="I79" s="184"/>
      <c r="J79" s="184">
        <v>431</v>
      </c>
      <c r="K79" s="184"/>
      <c r="L79" s="184"/>
      <c r="M79" s="184"/>
      <c r="N79" s="184"/>
      <c r="O79" s="184">
        <v>53326</v>
      </c>
      <c r="P79" s="184">
        <v>76291</v>
      </c>
      <c r="Q79" s="184"/>
      <c r="R79" s="184"/>
      <c r="S79" s="184"/>
      <c r="T79" s="184"/>
      <c r="U79" s="184">
        <v>2404</v>
      </c>
      <c r="V79" s="184"/>
      <c r="W79" s="184">
        <v>3934</v>
      </c>
      <c r="X79" s="184">
        <v>5910</v>
      </c>
      <c r="Y79" s="184">
        <v>34642</v>
      </c>
      <c r="Z79" s="184"/>
      <c r="AA79" s="184">
        <v>1164</v>
      </c>
      <c r="AB79" s="184">
        <v>10670</v>
      </c>
      <c r="AC79" s="184">
        <v>2389</v>
      </c>
      <c r="AD79" s="184"/>
      <c r="AE79" s="184">
        <v>5177</v>
      </c>
      <c r="AF79" s="184"/>
      <c r="AG79" s="184">
        <v>43803</v>
      </c>
      <c r="AH79" s="184"/>
      <c r="AI79" s="184">
        <v>31081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f>1277+2</f>
        <v>1279</v>
      </c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/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458573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47.9</v>
      </c>
      <c r="D80" s="187"/>
      <c r="E80" s="187">
        <v>27.9</v>
      </c>
      <c r="F80" s="187"/>
      <c r="G80" s="187"/>
      <c r="H80" s="187"/>
      <c r="I80" s="187"/>
      <c r="J80" s="187"/>
      <c r="K80" s="187"/>
      <c r="L80" s="187"/>
      <c r="M80" s="187"/>
      <c r="N80" s="187">
        <v>2.62</v>
      </c>
      <c r="O80" s="187">
        <v>19.46</v>
      </c>
      <c r="P80" s="187">
        <v>12.11</v>
      </c>
      <c r="Q80" s="187">
        <v>4.1100000000000003</v>
      </c>
      <c r="R80" s="187">
        <v>1.29</v>
      </c>
      <c r="S80" s="187">
        <v>5.96</v>
      </c>
      <c r="T80" s="187"/>
      <c r="U80" s="187">
        <v>17.350000000000001</v>
      </c>
      <c r="V80" s="187"/>
      <c r="W80" s="187">
        <v>1.08</v>
      </c>
      <c r="X80" s="187">
        <v>4.7300000000000004</v>
      </c>
      <c r="Y80" s="187">
        <v>23.48</v>
      </c>
      <c r="Z80" s="187">
        <v>5</v>
      </c>
      <c r="AA80" s="187">
        <v>1.05</v>
      </c>
      <c r="AB80" s="187">
        <v>10.58</v>
      </c>
      <c r="AC80" s="187">
        <v>9.3800000000000008</v>
      </c>
      <c r="AD80" s="187"/>
      <c r="AE80" s="187">
        <v>6.23</v>
      </c>
      <c r="AF80" s="187"/>
      <c r="AG80" s="187">
        <v>19.37</v>
      </c>
      <c r="AH80" s="187"/>
      <c r="AI80" s="187">
        <v>13.65</v>
      </c>
      <c r="AJ80" s="187"/>
      <c r="AK80" s="187">
        <v>0.54</v>
      </c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f>14.02+110.69</f>
        <v>124.71</v>
      </c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358.5</v>
      </c>
      <c r="CF80" s="256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3" t="s">
        <v>1278</v>
      </c>
      <c r="D82" s="257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1268</v>
      </c>
      <c r="D83" s="257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2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/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7"/>
      <c r="E92" s="175"/>
    </row>
    <row r="93" spans="1:5" ht="12.65" customHeight="1" x14ac:dyDescent="0.35">
      <c r="A93" s="173" t="s">
        <v>264</v>
      </c>
      <c r="B93" s="172" t="s">
        <v>256</v>
      </c>
      <c r="C93" s="271" t="s">
        <v>1277</v>
      </c>
      <c r="D93" s="257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8" t="s">
        <v>266</v>
      </c>
      <c r="B96" s="258"/>
      <c r="C96" s="258"/>
      <c r="D96" s="258"/>
      <c r="E96" s="258"/>
    </row>
    <row r="97" spans="1:5" ht="12.65" customHeight="1" x14ac:dyDescent="0.35">
      <c r="A97" s="173" t="s">
        <v>267</v>
      </c>
      <c r="B97" s="172" t="s">
        <v>256</v>
      </c>
      <c r="C97" s="189">
        <v>0</v>
      </c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>
        <v>0</v>
      </c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0</v>
      </c>
      <c r="D99" s="175"/>
      <c r="E99" s="175"/>
    </row>
    <row r="100" spans="1:5" ht="12.65" customHeight="1" x14ac:dyDescent="0.35">
      <c r="A100" s="258" t="s">
        <v>269</v>
      </c>
      <c r="B100" s="258"/>
      <c r="C100" s="258"/>
      <c r="D100" s="258"/>
      <c r="E100" s="258"/>
    </row>
    <row r="101" spans="1:5" ht="12.65" customHeight="1" x14ac:dyDescent="0.35">
      <c r="A101" s="173" t="s">
        <v>270</v>
      </c>
      <c r="B101" s="172" t="s">
        <v>256</v>
      </c>
      <c r="C101" s="189">
        <v>0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0</v>
      </c>
      <c r="D102" s="175"/>
      <c r="E102" s="175"/>
    </row>
    <row r="103" spans="1:5" ht="12.65" customHeight="1" x14ac:dyDescent="0.35">
      <c r="A103" s="258" t="s">
        <v>271</v>
      </c>
      <c r="B103" s="258"/>
      <c r="C103" s="258"/>
      <c r="D103" s="258"/>
      <c r="E103" s="258"/>
    </row>
    <row r="104" spans="1:5" ht="12.65" customHeight="1" x14ac:dyDescent="0.35">
      <c r="A104" s="173" t="s">
        <v>272</v>
      </c>
      <c r="B104" s="172" t="s">
        <v>256</v>
      </c>
      <c r="C104" s="189">
        <v>0</v>
      </c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>
        <v>0</v>
      </c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>
        <v>0</v>
      </c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3464</v>
      </c>
      <c r="D111" s="174">
        <v>12201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647</v>
      </c>
      <c r="D114" s="174">
        <v>1010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22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41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15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88</v>
      </c>
    </row>
    <row r="128" spans="1:5" ht="12.65" customHeight="1" x14ac:dyDescent="0.35">
      <c r="A128" s="173" t="s">
        <v>292</v>
      </c>
      <c r="B128" s="172" t="s">
        <v>256</v>
      </c>
      <c r="C128" s="189">
        <v>107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7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1173</v>
      </c>
      <c r="C138" s="189">
        <v>89</v>
      </c>
      <c r="D138" s="174">
        <f>3464-C138-B138</f>
        <v>2202</v>
      </c>
      <c r="E138" s="175">
        <f>SUM(B138:D138)</f>
        <v>3464</v>
      </c>
    </row>
    <row r="139" spans="1:6" ht="12.65" customHeight="1" x14ac:dyDescent="0.35">
      <c r="A139" s="173" t="s">
        <v>215</v>
      </c>
      <c r="B139" s="174">
        <v>5003</v>
      </c>
      <c r="C139" s="189">
        <v>233</v>
      </c>
      <c r="D139" s="174">
        <f>12201-C139-B139</f>
        <v>6965</v>
      </c>
      <c r="E139" s="175">
        <f>SUM(B139:D139)</f>
        <v>12201</v>
      </c>
    </row>
    <row r="140" spans="1:6" ht="12.65" customHeight="1" x14ac:dyDescent="0.35">
      <c r="A140" s="173" t="s">
        <v>298</v>
      </c>
      <c r="B140" s="174">
        <v>20073</v>
      </c>
      <c r="C140" s="174">
        <v>737</v>
      </c>
      <c r="D140" s="174">
        <f>61900-C140-B140</f>
        <v>41090</v>
      </c>
      <c r="E140" s="175">
        <f>SUM(B140:D140)</f>
        <v>61900</v>
      </c>
    </row>
    <row r="141" spans="1:6" ht="12.65" customHeight="1" x14ac:dyDescent="0.35">
      <c r="A141" s="173" t="s">
        <v>245</v>
      </c>
      <c r="B141" s="174">
        <v>81850848</v>
      </c>
      <c r="C141" s="189">
        <v>3666972</v>
      </c>
      <c r="D141" s="174">
        <f>209402602-C141-B141</f>
        <v>123884782</v>
      </c>
      <c r="E141" s="175">
        <f>SUM(B141:D141)</f>
        <v>209402602</v>
      </c>
      <c r="F141" s="199"/>
    </row>
    <row r="142" spans="1:6" ht="12.65" customHeight="1" x14ac:dyDescent="0.35">
      <c r="A142" s="173" t="s">
        <v>246</v>
      </c>
      <c r="B142" s="174">
        <v>100321065</v>
      </c>
      <c r="C142" s="189">
        <v>4065600</v>
      </c>
      <c r="D142" s="174">
        <f>311784612-C142-B142</f>
        <v>207397947</v>
      </c>
      <c r="E142" s="175">
        <f>SUM(B142:D142)</f>
        <v>311784612</v>
      </c>
      <c r="F142" s="199"/>
    </row>
    <row r="143" spans="1:6" ht="12.65" customHeight="1" x14ac:dyDescent="0.3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8" t="s">
        <v>306</v>
      </c>
      <c r="B164" s="258"/>
      <c r="C164" s="258"/>
      <c r="D164" s="258"/>
      <c r="E164" s="258"/>
    </row>
    <row r="165" spans="1:5" ht="11.5" customHeight="1" x14ac:dyDescent="0.35">
      <c r="A165" s="173" t="s">
        <v>307</v>
      </c>
      <c r="B165" s="172" t="s">
        <v>256</v>
      </c>
      <c r="C165" s="189">
        <f>2729895-34515-145885</f>
        <v>2549495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f>34515+145885</f>
        <v>180400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389751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48962+2947195</f>
        <v>2996157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f>-6427-3221</f>
        <v>-9648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f>-984+39864+42441-1205+25-51798+13754+403008-2500</f>
        <v>442605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6548760</v>
      </c>
      <c r="E173" s="175"/>
    </row>
    <row r="174" spans="1:5" ht="11.5" customHeight="1" x14ac:dyDescent="0.35">
      <c r="A174" s="258" t="s">
        <v>314</v>
      </c>
      <c r="B174" s="258"/>
      <c r="C174" s="258"/>
      <c r="D174" s="258"/>
      <c r="E174" s="258"/>
    </row>
    <row r="175" spans="1:5" ht="11.5" customHeight="1" x14ac:dyDescent="0.35">
      <c r="A175" s="173" t="s">
        <v>315</v>
      </c>
      <c r="B175" s="172" t="s">
        <v>256</v>
      </c>
      <c r="C175" s="189">
        <f>88970+616952</f>
        <v>705922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f>3187050-C175</f>
        <v>2481128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3187050</v>
      </c>
      <c r="E177" s="175"/>
    </row>
    <row r="178" spans="1:5" ht="11.5" customHeight="1" x14ac:dyDescent="0.35">
      <c r="A178" s="258" t="s">
        <v>317</v>
      </c>
      <c r="B178" s="258"/>
      <c r="C178" s="258"/>
      <c r="D178" s="258"/>
      <c r="E178" s="258"/>
    </row>
    <row r="179" spans="1:5" ht="11.5" customHeight="1" x14ac:dyDescent="0.35">
      <c r="A179" s="173" t="s">
        <v>318</v>
      </c>
      <c r="B179" s="172" t="s">
        <v>256</v>
      </c>
      <c r="C179" s="189">
        <v>587533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92966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680499</v>
      </c>
      <c r="E181" s="175"/>
    </row>
    <row r="182" spans="1:5" ht="11.5" customHeight="1" x14ac:dyDescent="0.35">
      <c r="A182" s="258" t="s">
        <v>320</v>
      </c>
      <c r="B182" s="258"/>
      <c r="C182" s="258"/>
      <c r="D182" s="258"/>
      <c r="E182" s="258"/>
    </row>
    <row r="183" spans="1:5" ht="11.5" customHeight="1" x14ac:dyDescent="0.35">
      <c r="A183" s="173" t="s">
        <v>321</v>
      </c>
      <c r="B183" s="172" t="s">
        <v>256</v>
      </c>
      <c r="C183" s="189">
        <v>0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685198.48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3841514.13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4526712.6099999994</v>
      </c>
      <c r="E186" s="175"/>
    </row>
    <row r="187" spans="1:5" ht="11.5" customHeight="1" x14ac:dyDescent="0.35">
      <c r="A187" s="258" t="s">
        <v>323</v>
      </c>
      <c r="B187" s="258"/>
      <c r="C187" s="258"/>
      <c r="D187" s="258"/>
      <c r="E187" s="258"/>
    </row>
    <row r="188" spans="1:5" ht="11.5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9985577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9985577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3160000</v>
      </c>
      <c r="C195" s="189">
        <v>0</v>
      </c>
      <c r="D195" s="174">
        <v>0</v>
      </c>
      <c r="E195" s="175">
        <f t="shared" ref="E195:E203" si="10">SUM(B195:C195)-D195</f>
        <v>3160000</v>
      </c>
    </row>
    <row r="196" spans="1:8" ht="12.65" customHeight="1" x14ac:dyDescent="0.35">
      <c r="A196" s="173" t="s">
        <v>333</v>
      </c>
      <c r="B196" s="174">
        <v>710000</v>
      </c>
      <c r="C196" s="189">
        <v>0</v>
      </c>
      <c r="D196" s="174">
        <v>0</v>
      </c>
      <c r="E196" s="175">
        <f t="shared" si="10"/>
        <v>710000</v>
      </c>
    </row>
    <row r="197" spans="1:8" ht="12.65" customHeight="1" x14ac:dyDescent="0.35">
      <c r="A197" s="173" t="s">
        <v>334</v>
      </c>
      <c r="B197" s="174">
        <v>38437221</v>
      </c>
      <c r="C197" s="189">
        <v>0</v>
      </c>
      <c r="D197" s="174">
        <v>0</v>
      </c>
      <c r="E197" s="175">
        <f t="shared" si="10"/>
        <v>38437221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21106338</v>
      </c>
      <c r="C199" s="189">
        <f>198687</f>
        <v>198687</v>
      </c>
      <c r="D199" s="174">
        <v>0</v>
      </c>
      <c r="E199" s="175">
        <f t="shared" si="10"/>
        <v>21305025</v>
      </c>
    </row>
    <row r="200" spans="1:8" ht="12.65" customHeight="1" x14ac:dyDescent="0.35">
      <c r="A200" s="173" t="s">
        <v>337</v>
      </c>
      <c r="B200" s="174">
        <v>13488264</v>
      </c>
      <c r="C200" s="189">
        <f>334980+32788-9245+640745</f>
        <v>999268</v>
      </c>
      <c r="D200" s="174">
        <v>0</v>
      </c>
      <c r="E200" s="175">
        <f t="shared" si="10"/>
        <v>14487532</v>
      </c>
    </row>
    <row r="201" spans="1:8" ht="12.65" customHeight="1" x14ac:dyDescent="0.35">
      <c r="A201" s="173" t="s">
        <v>338</v>
      </c>
      <c r="B201" s="174">
        <v>7501032</v>
      </c>
      <c r="C201" s="189">
        <f>3195+56805+140439+30758+1481+5</f>
        <v>232683</v>
      </c>
      <c r="D201" s="174">
        <v>0</v>
      </c>
      <c r="E201" s="175">
        <f t="shared" si="10"/>
        <v>7733715</v>
      </c>
    </row>
    <row r="202" spans="1:8" ht="12.65" customHeight="1" x14ac:dyDescent="0.35">
      <c r="A202" s="173" t="s">
        <v>339</v>
      </c>
      <c r="B202" s="174">
        <v>4521546</v>
      </c>
      <c r="C202" s="189">
        <v>0</v>
      </c>
      <c r="D202" s="174">
        <v>0</v>
      </c>
      <c r="E202" s="175">
        <f t="shared" si="10"/>
        <v>4521546</v>
      </c>
    </row>
    <row r="203" spans="1:8" ht="12.65" customHeight="1" x14ac:dyDescent="0.35">
      <c r="A203" s="173" t="s">
        <v>340</v>
      </c>
      <c r="B203" s="174">
        <v>716299</v>
      </c>
      <c r="C203" s="189">
        <v>-224321</v>
      </c>
      <c r="D203" s="174">
        <v>0</v>
      </c>
      <c r="E203" s="175">
        <f t="shared" si="10"/>
        <v>491978</v>
      </c>
    </row>
    <row r="204" spans="1:8" ht="12.65" customHeight="1" x14ac:dyDescent="0.35">
      <c r="A204" s="173" t="s">
        <v>203</v>
      </c>
      <c r="B204" s="175">
        <f>SUM(B195:B203)</f>
        <v>89640700</v>
      </c>
      <c r="C204" s="191">
        <f>SUM(C195:C203)</f>
        <v>1206317</v>
      </c>
      <c r="D204" s="175">
        <f>SUM(D195:D203)</f>
        <v>0</v>
      </c>
      <c r="E204" s="175">
        <f>SUM(E195:E203)</f>
        <v>90847017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5">
      <c r="A209" s="173" t="s">
        <v>333</v>
      </c>
      <c r="B209" s="174">
        <v>325415.67000000004</v>
      </c>
      <c r="C209" s="189">
        <v>88750</v>
      </c>
      <c r="D209" s="174">
        <v>0</v>
      </c>
      <c r="E209" s="175">
        <f t="shared" ref="E209:E216" si="11">SUM(B209:C209)-D209</f>
        <v>414165.67000000004</v>
      </c>
      <c r="H209" s="260"/>
    </row>
    <row r="210" spans="1:8" ht="12.65" customHeight="1" x14ac:dyDescent="0.35">
      <c r="A210" s="173" t="s">
        <v>334</v>
      </c>
      <c r="B210" s="174">
        <v>5982709.0199999996</v>
      </c>
      <c r="C210" s="189">
        <f>1629481+107000</f>
        <v>1736481</v>
      </c>
      <c r="D210" s="174">
        <v>0</v>
      </c>
      <c r="E210" s="175">
        <f t="shared" si="11"/>
        <v>7719190.0199999996</v>
      </c>
      <c r="H210" s="260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60"/>
    </row>
    <row r="212" spans="1:8" ht="12.65" customHeight="1" x14ac:dyDescent="0.35">
      <c r="A212" s="173" t="s">
        <v>336</v>
      </c>
      <c r="B212" s="174">
        <v>2492505</v>
      </c>
      <c r="C212" s="189">
        <f>1040073+7213</f>
        <v>1047286</v>
      </c>
      <c r="D212" s="174">
        <v>0</v>
      </c>
      <c r="E212" s="175">
        <f t="shared" si="11"/>
        <v>3539791</v>
      </c>
      <c r="H212" s="260"/>
    </row>
    <row r="213" spans="1:8" ht="12.65" customHeight="1" x14ac:dyDescent="0.35">
      <c r="A213" s="173" t="s">
        <v>337</v>
      </c>
      <c r="B213" s="174">
        <v>5953968.6699999999</v>
      </c>
      <c r="C213" s="189">
        <f>15320+3213+772601+679780+296325+42735</f>
        <v>1809974</v>
      </c>
      <c r="D213" s="174">
        <v>0</v>
      </c>
      <c r="E213" s="175">
        <f t="shared" si="11"/>
        <v>7763942.6699999999</v>
      </c>
      <c r="H213" s="260"/>
    </row>
    <row r="214" spans="1:8" ht="12.65" customHeight="1" x14ac:dyDescent="0.35">
      <c r="A214" s="173" t="s">
        <v>338</v>
      </c>
      <c r="B214" s="174">
        <v>2240201</v>
      </c>
      <c r="C214" s="189">
        <f>38+75662+44632+367522+165081+231199+5991+8</f>
        <v>890133</v>
      </c>
      <c r="D214" s="174">
        <v>0</v>
      </c>
      <c r="E214" s="175">
        <f t="shared" si="11"/>
        <v>3130334</v>
      </c>
      <c r="H214" s="260"/>
    </row>
    <row r="215" spans="1:8" ht="12.65" customHeight="1" x14ac:dyDescent="0.35">
      <c r="A215" s="173" t="s">
        <v>339</v>
      </c>
      <c r="B215" s="174">
        <v>1238528</v>
      </c>
      <c r="C215" s="189">
        <f>42554+272000</f>
        <v>314554</v>
      </c>
      <c r="D215" s="174">
        <v>0</v>
      </c>
      <c r="E215" s="175">
        <f t="shared" si="11"/>
        <v>1553082</v>
      </c>
      <c r="H215" s="260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60"/>
    </row>
    <row r="217" spans="1:8" ht="12.65" customHeight="1" x14ac:dyDescent="0.35">
      <c r="A217" s="173" t="s">
        <v>203</v>
      </c>
      <c r="B217" s="175">
        <f>SUM(B208:B216)</f>
        <v>18233327.359999999</v>
      </c>
      <c r="C217" s="191">
        <f>SUM(C208:C216)</f>
        <v>5887178</v>
      </c>
      <c r="D217" s="175">
        <f>SUM(D208:D216)</f>
        <v>0</v>
      </c>
      <c r="E217" s="175">
        <f>SUM(E208:E216)</f>
        <v>24120505.359999999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2" t="s">
        <v>1254</v>
      </c>
      <c r="C220" s="342"/>
      <c r="D220" s="208"/>
      <c r="E220" s="208"/>
    </row>
    <row r="221" spans="1:8" ht="12.65" customHeight="1" x14ac:dyDescent="0.35">
      <c r="A221" s="273" t="s">
        <v>1254</v>
      </c>
      <c r="B221" s="208"/>
      <c r="C221" s="189">
        <v>3177120</v>
      </c>
      <c r="D221" s="172">
        <f>C221</f>
        <v>3177120</v>
      </c>
      <c r="E221" s="208"/>
    </row>
    <row r="222" spans="1:8" ht="12.65" customHeight="1" x14ac:dyDescent="0.35">
      <c r="A222" s="258" t="s">
        <v>343</v>
      </c>
      <c r="B222" s="258"/>
      <c r="C222" s="258"/>
      <c r="D222" s="258"/>
      <c r="E222" s="258"/>
    </row>
    <row r="223" spans="1:8" ht="12.65" customHeight="1" x14ac:dyDescent="0.35">
      <c r="A223" s="173" t="s">
        <v>344</v>
      </c>
      <c r="B223" s="172" t="s">
        <v>256</v>
      </c>
      <c r="C223" s="189">
        <v>156904983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3855869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4771351.76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14519253.59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704694.72+227453.4+2529374.43+5173981-65774+240242840+45577.96-2</f>
        <v>248858145.51000002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428909602.86000001</v>
      </c>
      <c r="E229" s="175"/>
    </row>
    <row r="230" spans="1:5" ht="12.65" customHeight="1" x14ac:dyDescent="0.35">
      <c r="A230" s="258" t="s">
        <v>351</v>
      </c>
      <c r="B230" s="258"/>
      <c r="C230" s="258"/>
      <c r="D230" s="258"/>
      <c r="E230" s="258"/>
    </row>
    <row r="231" spans="1:5" ht="12.65" customHeight="1" x14ac:dyDescent="0.3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f>121727.15+1313783.64+53060.35+62368.42+18373.6-52496</f>
        <v>1516817.16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541437.01+1402291.09+529.46+252769.67+142003.76+131552.35-64848+22697.14</f>
        <v>2428432.4800000004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3945249.6400000006</v>
      </c>
      <c r="E236" s="175"/>
    </row>
    <row r="237" spans="1:5" ht="12.65" customHeight="1" x14ac:dyDescent="0.35">
      <c r="A237" s="258" t="s">
        <v>356</v>
      </c>
      <c r="B237" s="258"/>
      <c r="C237" s="258"/>
      <c r="D237" s="258"/>
      <c r="E237" s="258"/>
    </row>
    <row r="238" spans="1:5" ht="12.65" customHeight="1" x14ac:dyDescent="0.3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436031972.5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8" t="s">
        <v>361</v>
      </c>
      <c r="B249" s="258"/>
      <c r="C249" s="258"/>
      <c r="D249" s="258"/>
      <c r="E249" s="258"/>
    </row>
    <row r="250" spans="1:5" ht="12.65" customHeight="1" x14ac:dyDescent="0.35">
      <c r="A250" s="173" t="s">
        <v>362</v>
      </c>
      <c r="B250" s="172" t="s">
        <v>256</v>
      </c>
      <c r="C250" s="189">
        <v>-887603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17529900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7172725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900763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102062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3763243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941621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15177261</v>
      </c>
      <c r="E260" s="175"/>
    </row>
    <row r="261" spans="1:5" ht="11.25" customHeight="1" x14ac:dyDescent="0.35">
      <c r="A261" s="258" t="s">
        <v>372</v>
      </c>
      <c r="B261" s="258"/>
      <c r="C261" s="258"/>
      <c r="D261" s="258"/>
      <c r="E261" s="258"/>
    </row>
    <row r="262" spans="1:5" ht="12.6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8" t="s">
        <v>375</v>
      </c>
      <c r="B266" s="258"/>
      <c r="C266" s="258"/>
      <c r="D266" s="258"/>
      <c r="E266" s="258"/>
    </row>
    <row r="267" spans="1:5" ht="12.65" customHeight="1" x14ac:dyDescent="0.35">
      <c r="A267" s="173" t="s">
        <v>332</v>
      </c>
      <c r="B267" s="172" t="s">
        <v>256</v>
      </c>
      <c r="C267" s="189">
        <v>3160000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710000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f>40740000+1070000+409590+2720000+5300+1</f>
        <v>44944891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f>21174815+78911+51300</f>
        <v>21305026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f>640745+6171556+5592526+1980373+214923+20400-133000+3195+738595+306462+2169919+1379247+1121632+28545+4</f>
        <v>20235122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491978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90847017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24120505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66726512</v>
      </c>
      <c r="E277" s="175"/>
    </row>
    <row r="278" spans="1:5" ht="12.65" customHeight="1" x14ac:dyDescent="0.35">
      <c r="A278" s="258" t="s">
        <v>382</v>
      </c>
      <c r="B278" s="258"/>
      <c r="C278" s="258"/>
      <c r="D278" s="258"/>
      <c r="E278" s="258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448809.32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1871025.39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2319834.71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8" t="s">
        <v>387</v>
      </c>
      <c r="B285" s="258"/>
      <c r="C285" s="258"/>
      <c r="D285" s="258"/>
      <c r="E285" s="258"/>
    </row>
    <row r="286" spans="1:5" ht="12.65" customHeight="1" x14ac:dyDescent="0.3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270898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270898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84494505.709999993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8" t="s">
        <v>395</v>
      </c>
      <c r="B303" s="258"/>
      <c r="C303" s="258"/>
      <c r="D303" s="258"/>
      <c r="E303" s="258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4661498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3656642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994289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f>455922+19420985</f>
        <v>19876907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29189336</v>
      </c>
      <c r="E314" s="175"/>
    </row>
    <row r="315" spans="1:5" ht="12.65" customHeight="1" x14ac:dyDescent="0.35">
      <c r="A315" s="258" t="s">
        <v>406</v>
      </c>
      <c r="B315" s="258"/>
      <c r="C315" s="258"/>
      <c r="D315" s="258"/>
      <c r="E315" s="258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2118185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2118185</v>
      </c>
      <c r="E319" s="175"/>
    </row>
    <row r="320" spans="1:5" ht="12.65" customHeight="1" x14ac:dyDescent="0.35">
      <c r="A320" s="258" t="s">
        <v>411</v>
      </c>
      <c r="B320" s="258"/>
      <c r="C320" s="258"/>
      <c r="D320" s="258"/>
      <c r="E320" s="258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112469652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-52661580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59808072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59808072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0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f>12484609-19105696</f>
        <v>-6621087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84494506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84494505.709999993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8" t="s">
        <v>427</v>
      </c>
      <c r="B358" s="258"/>
      <c r="C358" s="258"/>
      <c r="D358" s="258"/>
      <c r="E358" s="258"/>
    </row>
    <row r="359" spans="1:5" ht="12.65" customHeight="1" x14ac:dyDescent="0.35">
      <c r="A359" s="173" t="s">
        <v>428</v>
      </c>
      <c r="B359" s="172" t="s">
        <v>256</v>
      </c>
      <c r="C359" s="189">
        <f>50798533+158604069</f>
        <v>209402602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311762778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521165380</v>
      </c>
      <c r="E361" s="175"/>
    </row>
    <row r="362" spans="1:5" ht="12.65" customHeight="1" x14ac:dyDescent="0.35">
      <c r="A362" s="258" t="s">
        <v>431</v>
      </c>
      <c r="B362" s="258"/>
      <c r="C362" s="258"/>
      <c r="D362" s="258"/>
      <c r="E362" s="258"/>
    </row>
    <row r="363" spans="1:5" ht="12.65" customHeight="1" x14ac:dyDescent="0.35">
      <c r="A363" s="173" t="s">
        <v>1254</v>
      </c>
      <c r="B363" s="258"/>
      <c r="C363" s="189">
        <v>3177120</v>
      </c>
      <c r="D363" s="175"/>
      <c r="E363" s="258"/>
    </row>
    <row r="364" spans="1:5" ht="12.65" customHeight="1" x14ac:dyDescent="0.35">
      <c r="A364" s="173" t="s">
        <v>432</v>
      </c>
      <c r="B364" s="172" t="s">
        <v>256</v>
      </c>
      <c r="C364" s="189">
        <f>156904983+3855869+5173981-65774+240242840+4771351.76+14519253.59+704694.72+227453.4</f>
        <v>426334652.46999997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3945249+2529374.43</f>
        <v>6474623.4299999997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45577.96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436031973.85999995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85133406.140000045</v>
      </c>
      <c r="E368" s="175"/>
    </row>
    <row r="369" spans="1:5" ht="12.65" customHeight="1" x14ac:dyDescent="0.35">
      <c r="A369" s="258" t="s">
        <v>436</v>
      </c>
      <c r="B369" s="258"/>
      <c r="C369" s="258"/>
      <c r="D369" s="258"/>
      <c r="E369" s="258"/>
    </row>
    <row r="370" spans="1:5" ht="12.65" customHeight="1" x14ac:dyDescent="0.35">
      <c r="A370" s="173" t="s">
        <v>437</v>
      </c>
      <c r="B370" s="172" t="s">
        <v>256</v>
      </c>
      <c r="C370" s="189">
        <v>557924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557924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85691330.140000045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8" t="s">
        <v>441</v>
      </c>
      <c r="B377" s="258"/>
      <c r="C377" s="258"/>
      <c r="D377" s="258"/>
      <c r="E377" s="258"/>
    </row>
    <row r="378" spans="1:5" ht="12.65" customHeight="1" x14ac:dyDescent="0.35">
      <c r="A378" s="173" t="s">
        <v>442</v>
      </c>
      <c r="B378" s="172" t="s">
        <v>256</v>
      </c>
      <c r="C378" s="189">
        <v>37106882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6548760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4805620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15014974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1157699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9602928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5898153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3187051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680499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4526713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9985577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2495110+3248029+644098-8698+2294660-2391027</f>
        <v>6282172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104797028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-19105697.859999955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-19105697.859999955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-19105697.859999955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1"/>
    </row>
    <row r="412" spans="1:5" ht="12.65" customHeight="1" x14ac:dyDescent="0.35">
      <c r="A412" s="179" t="str">
        <f>C84&amp;"   "&amp;"H-"&amp;FIXED(C83,0,TRUE)&amp;"     FYE "&amp;C82</f>
        <v>Capital Medical Center   H-0     FYE 12/31/2020</v>
      </c>
      <c r="B412" s="179"/>
      <c r="C412" s="179"/>
      <c r="D412" s="179"/>
      <c r="E412" s="261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3464</v>
      </c>
      <c r="C414" s="194">
        <f>E138</f>
        <v>3464</v>
      </c>
      <c r="D414" s="179"/>
    </row>
    <row r="415" spans="1:5" ht="12.65" customHeight="1" x14ac:dyDescent="0.35">
      <c r="A415" s="179" t="s">
        <v>464</v>
      </c>
      <c r="B415" s="179">
        <f>D111</f>
        <v>12201</v>
      </c>
      <c r="C415" s="179">
        <f>E139</f>
        <v>12201</v>
      </c>
      <c r="D415" s="194">
        <f>SUM(C59:H59)+N59</f>
        <v>43570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647</v>
      </c>
    </row>
    <row r="424" spans="1:7" ht="12.65" customHeight="1" x14ac:dyDescent="0.35">
      <c r="A424" s="179" t="s">
        <v>1243</v>
      </c>
      <c r="B424" s="179">
        <f>D114</f>
        <v>1010</v>
      </c>
      <c r="D424" s="179">
        <f>J59</f>
        <v>1066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37106882</v>
      </c>
      <c r="C427" s="179">
        <f t="shared" ref="C427:C434" si="13">CE61</f>
        <v>37106883</v>
      </c>
      <c r="D427" s="179"/>
    </row>
    <row r="428" spans="1:7" ht="12.65" customHeight="1" x14ac:dyDescent="0.35">
      <c r="A428" s="179" t="s">
        <v>3</v>
      </c>
      <c r="B428" s="179">
        <f t="shared" si="12"/>
        <v>6548760</v>
      </c>
      <c r="C428" s="179">
        <f t="shared" si="13"/>
        <v>6548757</v>
      </c>
      <c r="D428" s="179">
        <f>D173</f>
        <v>6548760</v>
      </c>
    </row>
    <row r="429" spans="1:7" ht="12.65" customHeight="1" x14ac:dyDescent="0.35">
      <c r="A429" s="179" t="s">
        <v>236</v>
      </c>
      <c r="B429" s="179">
        <f t="shared" si="12"/>
        <v>4805620</v>
      </c>
      <c r="C429" s="179">
        <f t="shared" si="13"/>
        <v>4805619</v>
      </c>
      <c r="D429" s="179"/>
    </row>
    <row r="430" spans="1:7" ht="12.65" customHeight="1" x14ac:dyDescent="0.35">
      <c r="A430" s="179" t="s">
        <v>237</v>
      </c>
      <c r="B430" s="179">
        <f t="shared" si="12"/>
        <v>15014974</v>
      </c>
      <c r="C430" s="179">
        <f t="shared" si="13"/>
        <v>15014977</v>
      </c>
      <c r="D430" s="179"/>
    </row>
    <row r="431" spans="1:7" ht="12.65" customHeight="1" x14ac:dyDescent="0.35">
      <c r="A431" s="179" t="s">
        <v>444</v>
      </c>
      <c r="B431" s="179">
        <f t="shared" si="12"/>
        <v>1157699</v>
      </c>
      <c r="C431" s="179">
        <f t="shared" si="13"/>
        <v>1157698</v>
      </c>
      <c r="D431" s="179"/>
    </row>
    <row r="432" spans="1:7" ht="12.65" customHeight="1" x14ac:dyDescent="0.35">
      <c r="A432" s="179" t="s">
        <v>445</v>
      </c>
      <c r="B432" s="179">
        <f t="shared" si="12"/>
        <v>9602928</v>
      </c>
      <c r="C432" s="179">
        <f t="shared" si="13"/>
        <v>9602933</v>
      </c>
      <c r="D432" s="179"/>
    </row>
    <row r="433" spans="1:7" ht="12.65" customHeight="1" x14ac:dyDescent="0.35">
      <c r="A433" s="179" t="s">
        <v>6</v>
      </c>
      <c r="B433" s="179">
        <f t="shared" si="12"/>
        <v>5898153</v>
      </c>
      <c r="C433" s="179">
        <f t="shared" si="13"/>
        <v>5898156</v>
      </c>
      <c r="D433" s="179">
        <f>C217</f>
        <v>5887178</v>
      </c>
    </row>
    <row r="434" spans="1:7" ht="12.65" customHeight="1" x14ac:dyDescent="0.35">
      <c r="A434" s="179" t="s">
        <v>474</v>
      </c>
      <c r="B434" s="179">
        <f t="shared" si="12"/>
        <v>3187051</v>
      </c>
      <c r="C434" s="179">
        <f t="shared" si="13"/>
        <v>3187052</v>
      </c>
      <c r="D434" s="179">
        <f>D177</f>
        <v>3187050</v>
      </c>
    </row>
    <row r="435" spans="1:7" ht="12.65" customHeight="1" x14ac:dyDescent="0.35">
      <c r="A435" s="179" t="s">
        <v>447</v>
      </c>
      <c r="B435" s="179">
        <f t="shared" si="12"/>
        <v>680499</v>
      </c>
      <c r="C435" s="179"/>
      <c r="D435" s="179">
        <f>D181</f>
        <v>680499</v>
      </c>
    </row>
    <row r="436" spans="1:7" ht="12.65" customHeight="1" x14ac:dyDescent="0.35">
      <c r="A436" s="179" t="s">
        <v>475</v>
      </c>
      <c r="B436" s="179">
        <f t="shared" si="12"/>
        <v>4526713</v>
      </c>
      <c r="C436" s="179"/>
      <c r="D436" s="179">
        <f>D186</f>
        <v>4526712.6099999994</v>
      </c>
    </row>
    <row r="437" spans="1:7" ht="12.65" customHeight="1" x14ac:dyDescent="0.35">
      <c r="A437" s="194" t="s">
        <v>449</v>
      </c>
      <c r="B437" s="194">
        <f t="shared" si="12"/>
        <v>9985577</v>
      </c>
      <c r="C437" s="194"/>
      <c r="D437" s="194">
        <f>D190</f>
        <v>9985577</v>
      </c>
    </row>
    <row r="438" spans="1:7" ht="12.65" customHeight="1" x14ac:dyDescent="0.35">
      <c r="A438" s="194" t="s">
        <v>476</v>
      </c>
      <c r="B438" s="194">
        <f>C386+C387+C388</f>
        <v>15192789</v>
      </c>
      <c r="C438" s="194">
        <f>CD69</f>
        <v>13483429</v>
      </c>
      <c r="D438" s="194">
        <f>D181+D186+D190</f>
        <v>15192788.609999999</v>
      </c>
    </row>
    <row r="439" spans="1:7" ht="12.65" customHeight="1" x14ac:dyDescent="0.35">
      <c r="A439" s="179" t="s">
        <v>451</v>
      </c>
      <c r="B439" s="194">
        <f>C389</f>
        <v>6282172</v>
      </c>
      <c r="C439" s="194">
        <f>SUM(C69:CC69)</f>
        <v>9705493</v>
      </c>
      <c r="D439" s="179"/>
    </row>
    <row r="440" spans="1:7" ht="12.65" customHeight="1" x14ac:dyDescent="0.35">
      <c r="A440" s="179" t="s">
        <v>477</v>
      </c>
      <c r="B440" s="194">
        <f>B438+B439</f>
        <v>21474961</v>
      </c>
      <c r="C440" s="194">
        <f>CE69</f>
        <v>23188922</v>
      </c>
      <c r="D440" s="179"/>
    </row>
    <row r="441" spans="1:7" ht="12.65" customHeight="1" x14ac:dyDescent="0.35">
      <c r="A441" s="179" t="s">
        <v>478</v>
      </c>
      <c r="B441" s="179">
        <f>D390</f>
        <v>104797028</v>
      </c>
      <c r="C441" s="179">
        <f>SUM(C427:C437)+C440</f>
        <v>106510997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3177120</v>
      </c>
      <c r="C444" s="179">
        <f>C363</f>
        <v>3177120</v>
      </c>
      <c r="D444" s="179"/>
    </row>
    <row r="445" spans="1:7" ht="12.65" customHeight="1" x14ac:dyDescent="0.35">
      <c r="A445" s="179" t="s">
        <v>343</v>
      </c>
      <c r="B445" s="179">
        <f>D229</f>
        <v>428909602.86000001</v>
      </c>
      <c r="C445" s="179">
        <f>C364</f>
        <v>426334652.46999997</v>
      </c>
      <c r="D445" s="179"/>
    </row>
    <row r="446" spans="1:7" ht="12.65" customHeight="1" x14ac:dyDescent="0.35">
      <c r="A446" s="179" t="s">
        <v>351</v>
      </c>
      <c r="B446" s="179">
        <f>D236</f>
        <v>3945249.6400000006</v>
      </c>
      <c r="C446" s="179">
        <f>C365</f>
        <v>6474623.4299999997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45577.96</v>
      </c>
      <c r="D447" s="179"/>
    </row>
    <row r="448" spans="1:7" ht="12.65" customHeight="1" x14ac:dyDescent="0.35">
      <c r="A448" s="179" t="s">
        <v>358</v>
      </c>
      <c r="B448" s="179">
        <f>D242</f>
        <v>436031972.5</v>
      </c>
      <c r="C448" s="179">
        <f>D367</f>
        <v>436031973.85999995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1516817.16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2428432.4800000004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557924</v>
      </c>
      <c r="C458" s="194">
        <f>CE70</f>
        <v>557924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209402602</v>
      </c>
      <c r="C463" s="194">
        <f>CE73</f>
        <v>209402604</v>
      </c>
      <c r="D463" s="194">
        <f>E141+E147+E153</f>
        <v>209402602</v>
      </c>
    </row>
    <row r="464" spans="1:7" ht="12.65" customHeight="1" x14ac:dyDescent="0.35">
      <c r="A464" s="179" t="s">
        <v>246</v>
      </c>
      <c r="B464" s="194">
        <f>C360</f>
        <v>311762778</v>
      </c>
      <c r="C464" s="194">
        <f>CE74</f>
        <v>311762784</v>
      </c>
      <c r="D464" s="194">
        <f>E142+E148+E154</f>
        <v>311784612</v>
      </c>
    </row>
    <row r="465" spans="1:7" ht="12.65" customHeight="1" x14ac:dyDescent="0.35">
      <c r="A465" s="179" t="s">
        <v>247</v>
      </c>
      <c r="B465" s="194">
        <f>D361</f>
        <v>521165380</v>
      </c>
      <c r="C465" s="194">
        <f>CE75</f>
        <v>521165388</v>
      </c>
      <c r="D465" s="194">
        <f>D463+D464</f>
        <v>521187214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3160000</v>
      </c>
      <c r="C468" s="179">
        <f>E195</f>
        <v>3160000</v>
      </c>
      <c r="D468" s="179"/>
    </row>
    <row r="469" spans="1:7" ht="12.65" customHeight="1" x14ac:dyDescent="0.35">
      <c r="A469" s="179" t="s">
        <v>333</v>
      </c>
      <c r="B469" s="179">
        <f t="shared" si="14"/>
        <v>710000</v>
      </c>
      <c r="C469" s="179">
        <f>E196</f>
        <v>710000</v>
      </c>
      <c r="D469" s="179"/>
    </row>
    <row r="470" spans="1:7" ht="12.65" customHeight="1" x14ac:dyDescent="0.35">
      <c r="A470" s="179" t="s">
        <v>334</v>
      </c>
      <c r="B470" s="179">
        <f t="shared" si="14"/>
        <v>44944891</v>
      </c>
      <c r="C470" s="179">
        <f>E197</f>
        <v>38437221</v>
      </c>
      <c r="D470" s="179"/>
    </row>
    <row r="471" spans="1:7" ht="12.65" customHeight="1" x14ac:dyDescent="0.35">
      <c r="A471" s="179" t="s">
        <v>494</v>
      </c>
      <c r="B471" s="179">
        <f t="shared" si="14"/>
        <v>21305026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21305025</v>
      </c>
      <c r="D472" s="179"/>
    </row>
    <row r="473" spans="1:7" ht="12.65" customHeight="1" x14ac:dyDescent="0.35">
      <c r="A473" s="179" t="s">
        <v>495</v>
      </c>
      <c r="B473" s="179">
        <f t="shared" si="14"/>
        <v>20235122</v>
      </c>
      <c r="C473" s="179">
        <f>SUM(E200:E201)</f>
        <v>22221247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4521546</v>
      </c>
      <c r="D474" s="179"/>
    </row>
    <row r="475" spans="1:7" ht="12.65" customHeight="1" x14ac:dyDescent="0.35">
      <c r="A475" s="179" t="s">
        <v>340</v>
      </c>
      <c r="B475" s="179">
        <f t="shared" si="14"/>
        <v>491978</v>
      </c>
      <c r="C475" s="179">
        <f>E203</f>
        <v>491978</v>
      </c>
      <c r="D475" s="179"/>
    </row>
    <row r="476" spans="1:7" ht="12.65" customHeight="1" x14ac:dyDescent="0.35">
      <c r="A476" s="179" t="s">
        <v>203</v>
      </c>
      <c r="B476" s="179">
        <f>D275</f>
        <v>90847017</v>
      </c>
      <c r="C476" s="179">
        <f>E204</f>
        <v>90847017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24120505</v>
      </c>
      <c r="C478" s="179">
        <f>E217</f>
        <v>24120505.359999999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84494505.709999993</v>
      </c>
    </row>
    <row r="482" spans="1:12" ht="12.65" customHeight="1" x14ac:dyDescent="0.35">
      <c r="A482" s="180" t="s">
        <v>499</v>
      </c>
      <c r="C482" s="180">
        <f>D339</f>
        <v>84494506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197</v>
      </c>
      <c r="B493" s="262" t="str">
        <f>RIGHT('Prior Year'!C83,4)</f>
        <v>197</v>
      </c>
      <c r="C493" s="262" t="str">
        <f>RIGHT(C82,4)</f>
        <v>2020</v>
      </c>
      <c r="D493" s="262" t="str">
        <f>RIGHT('Prior Year'!C83,4)</f>
        <v>197</v>
      </c>
      <c r="E493" s="262" t="str">
        <f>RIGHT(C82,4)</f>
        <v>2020</v>
      </c>
      <c r="F493" s="262" t="str">
        <f>RIGHT('Prior Year'!C83,4)</f>
        <v>197</v>
      </c>
      <c r="G493" s="262" t="str">
        <f>RIGHT(C82,4)</f>
        <v>2020</v>
      </c>
      <c r="H493" s="262"/>
      <c r="K493" s="262"/>
      <c r="L493" s="262"/>
    </row>
    <row r="494" spans="1:12" ht="12.65" customHeight="1" x14ac:dyDescent="0.3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5">
      <c r="A496" s="180" t="s">
        <v>512</v>
      </c>
      <c r="B496" s="241">
        <f>'Prior Year'!C71</f>
        <v>8195784</v>
      </c>
      <c r="C496" s="241">
        <f>C71</f>
        <v>7711928</v>
      </c>
      <c r="D496" s="241">
        <f>'Prior Year'!C59</f>
        <v>45514</v>
      </c>
      <c r="E496" s="180">
        <f>C59</f>
        <v>38191</v>
      </c>
      <c r="F496" s="264">
        <f t="shared" ref="F496:G511" si="15">IF(B496=0,"",IF(D496=0,"",B496/D496))</f>
        <v>180.07171419782924</v>
      </c>
      <c r="G496" s="265">
        <f t="shared" si="15"/>
        <v>201.93050718755728</v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5">
      <c r="A498" s="180" t="s">
        <v>514</v>
      </c>
      <c r="B498" s="241">
        <f>'Prior Year'!E71</f>
        <v>6301267</v>
      </c>
      <c r="C498" s="241">
        <f>E71</f>
        <v>4165180</v>
      </c>
      <c r="D498" s="241">
        <f>'Prior Year'!E59</f>
        <v>9669</v>
      </c>
      <c r="E498" s="180">
        <f>E59</f>
        <v>5379</v>
      </c>
      <c r="F498" s="264">
        <f t="shared" si="15"/>
        <v>651.6979005067742</v>
      </c>
      <c r="G498" s="264">
        <f t="shared" si="15"/>
        <v>774.34095556794944</v>
      </c>
      <c r="H498" s="266" t="str">
        <f t="shared" si="16"/>
        <v/>
      </c>
      <c r="I498" s="268"/>
      <c r="K498" s="262"/>
      <c r="L498" s="262"/>
    </row>
    <row r="499" spans="1:12" ht="12.65" customHeight="1" x14ac:dyDescent="0.35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5"/>
        <v/>
      </c>
      <c r="G499" s="264" t="str">
        <f t="shared" si="15"/>
        <v/>
      </c>
      <c r="H499" s="266" t="str">
        <f t="shared" si="16"/>
        <v/>
      </c>
      <c r="I499" s="268"/>
      <c r="K499" s="262"/>
      <c r="L499" s="262"/>
    </row>
    <row r="500" spans="1:12" ht="12.65" customHeight="1" x14ac:dyDescent="0.35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5"/>
        <v/>
      </c>
      <c r="G500" s="264" t="str">
        <f t="shared" si="15"/>
        <v/>
      </c>
      <c r="H500" s="266" t="str">
        <f t="shared" si="16"/>
        <v/>
      </c>
      <c r="I500" s="268"/>
      <c r="K500" s="262"/>
      <c r="L500" s="262"/>
    </row>
    <row r="501" spans="1:12" ht="12.65" customHeight="1" x14ac:dyDescent="0.35">
      <c r="A501" s="180" t="s">
        <v>517</v>
      </c>
      <c r="B501" s="241">
        <f>'Prior Year'!H71</f>
        <v>0</v>
      </c>
      <c r="C501" s="241">
        <f>H71</f>
        <v>0</v>
      </c>
      <c r="D501" s="241">
        <f>'Prior Year'!H59</f>
        <v>0</v>
      </c>
      <c r="E501" s="180">
        <f>H59</f>
        <v>0</v>
      </c>
      <c r="F501" s="264" t="str">
        <f t="shared" si="15"/>
        <v/>
      </c>
      <c r="G501" s="264" t="str">
        <f t="shared" si="15"/>
        <v/>
      </c>
      <c r="H501" s="266" t="str">
        <f t="shared" si="16"/>
        <v/>
      </c>
      <c r="I501" s="268"/>
      <c r="K501" s="262"/>
      <c r="L501" s="262"/>
    </row>
    <row r="502" spans="1:12" ht="12.65" customHeight="1" x14ac:dyDescent="0.3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5" customHeight="1" x14ac:dyDescent="0.35">
      <c r="A503" s="180" t="s">
        <v>519</v>
      </c>
      <c r="B503" s="241">
        <f>'Prior Year'!J71</f>
        <v>654405</v>
      </c>
      <c r="C503" s="241">
        <f>J71</f>
        <v>623346</v>
      </c>
      <c r="D503" s="241">
        <f>'Prior Year'!J59</f>
        <v>1113</v>
      </c>
      <c r="E503" s="180">
        <f>J59</f>
        <v>1066</v>
      </c>
      <c r="F503" s="264">
        <f t="shared" si="15"/>
        <v>587.96495956873321</v>
      </c>
      <c r="G503" s="264">
        <f t="shared" si="15"/>
        <v>584.75234521575987</v>
      </c>
      <c r="H503" s="266" t="str">
        <f t="shared" si="16"/>
        <v/>
      </c>
      <c r="I503" s="268"/>
      <c r="K503" s="262"/>
      <c r="L503" s="262"/>
    </row>
    <row r="504" spans="1:12" ht="12.65" customHeight="1" x14ac:dyDescent="0.35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5" customHeight="1" x14ac:dyDescent="0.35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5"/>
        <v/>
      </c>
      <c r="G505" s="264" t="str">
        <f t="shared" si="15"/>
        <v/>
      </c>
      <c r="H505" s="266" t="str">
        <f t="shared" si="16"/>
        <v/>
      </c>
      <c r="I505" s="268"/>
      <c r="K505" s="262"/>
      <c r="L505" s="262"/>
    </row>
    <row r="506" spans="1:12" ht="12.65" customHeight="1" x14ac:dyDescent="0.35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5" customHeight="1" x14ac:dyDescent="0.35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5" customHeight="1" x14ac:dyDescent="0.35">
      <c r="A508" s="180" t="s">
        <v>524</v>
      </c>
      <c r="B508" s="241">
        <f>'Prior Year'!O71</f>
        <v>4048688</v>
      </c>
      <c r="C508" s="241">
        <f>O71</f>
        <v>4184496</v>
      </c>
      <c r="D508" s="241">
        <f>'Prior Year'!O59</f>
        <v>1398</v>
      </c>
      <c r="E508" s="180">
        <f>O59</f>
        <v>1298</v>
      </c>
      <c r="F508" s="264">
        <f t="shared" si="15"/>
        <v>2896.0572246065808</v>
      </c>
      <c r="G508" s="264">
        <f t="shared" si="15"/>
        <v>3223.8027734976886</v>
      </c>
      <c r="H508" s="266" t="str">
        <f t="shared" si="16"/>
        <v/>
      </c>
      <c r="I508" s="268"/>
      <c r="K508" s="262"/>
      <c r="L508" s="262"/>
    </row>
    <row r="509" spans="1:12" ht="12.65" customHeight="1" x14ac:dyDescent="0.35">
      <c r="A509" s="180" t="s">
        <v>525</v>
      </c>
      <c r="B509" s="241">
        <f>'Prior Year'!P71</f>
        <v>5740882</v>
      </c>
      <c r="C509" s="241">
        <f>P71</f>
        <v>4688337</v>
      </c>
      <c r="D509" s="241">
        <f>'Prior Year'!P59</f>
        <v>463375</v>
      </c>
      <c r="E509" s="180">
        <f>P59</f>
        <v>252863</v>
      </c>
      <c r="F509" s="264">
        <f t="shared" si="15"/>
        <v>12.389278661990828</v>
      </c>
      <c r="G509" s="264">
        <f t="shared" si="15"/>
        <v>18.541016281543762</v>
      </c>
      <c r="H509" s="266">
        <f t="shared" si="16"/>
        <v>0.49653719053280332</v>
      </c>
      <c r="I509" s="268"/>
      <c r="K509" s="262"/>
      <c r="L509" s="262"/>
    </row>
    <row r="510" spans="1:12" ht="12.65" customHeight="1" x14ac:dyDescent="0.35">
      <c r="A510" s="180" t="s">
        <v>526</v>
      </c>
      <c r="B510" s="241">
        <f>'Prior Year'!Q71</f>
        <v>1248170</v>
      </c>
      <c r="C510" s="241">
        <f>Q71</f>
        <v>1028207</v>
      </c>
      <c r="D510" s="241">
        <f>'Prior Year'!Q59</f>
        <v>350167</v>
      </c>
      <c r="E510" s="180">
        <f>Q59</f>
        <v>207782</v>
      </c>
      <c r="F510" s="264">
        <f t="shared" si="15"/>
        <v>3.5644992246556644</v>
      </c>
      <c r="G510" s="264">
        <f t="shared" si="15"/>
        <v>4.9484892820359798</v>
      </c>
      <c r="H510" s="266">
        <f t="shared" si="16"/>
        <v>0.38827054521635107</v>
      </c>
      <c r="I510" s="268"/>
      <c r="K510" s="262"/>
      <c r="L510" s="262"/>
    </row>
    <row r="511" spans="1:12" ht="12.65" customHeight="1" x14ac:dyDescent="0.35">
      <c r="A511" s="180" t="s">
        <v>527</v>
      </c>
      <c r="B511" s="241">
        <f>'Prior Year'!R71</f>
        <v>1576473</v>
      </c>
      <c r="C511" s="241">
        <f>R71</f>
        <v>1628727</v>
      </c>
      <c r="D511" s="241">
        <f>'Prior Year'!R59</f>
        <v>522284</v>
      </c>
      <c r="E511" s="180">
        <f>R59</f>
        <v>306348</v>
      </c>
      <c r="F511" s="264">
        <f t="shared" si="15"/>
        <v>3.0184210123227975</v>
      </c>
      <c r="G511" s="264">
        <f t="shared" si="15"/>
        <v>5.3165909357985033</v>
      </c>
      <c r="H511" s="266">
        <f t="shared" si="16"/>
        <v>0.76138150181613362</v>
      </c>
      <c r="I511" s="268"/>
      <c r="K511" s="262"/>
      <c r="L511" s="262"/>
    </row>
    <row r="512" spans="1:12" ht="12.65" customHeight="1" x14ac:dyDescent="0.35">
      <c r="A512" s="180" t="s">
        <v>528</v>
      </c>
      <c r="B512" s="241">
        <f>'Prior Year'!S71</f>
        <v>1381958</v>
      </c>
      <c r="C512" s="241">
        <f>S71</f>
        <v>3499996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5" customHeight="1" x14ac:dyDescent="0.35">
      <c r="A513" s="180" t="s">
        <v>1245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5" customHeight="1" x14ac:dyDescent="0.35">
      <c r="A514" s="180" t="s">
        <v>530</v>
      </c>
      <c r="B514" s="241">
        <f>'Prior Year'!U71</f>
        <v>3876615</v>
      </c>
      <c r="C514" s="241">
        <f>U71</f>
        <v>3814539</v>
      </c>
      <c r="D514" s="241">
        <f>'Prior Year'!U59</f>
        <v>265612</v>
      </c>
      <c r="E514" s="180">
        <f>U59</f>
        <v>209106</v>
      </c>
      <c r="F514" s="264">
        <f t="shared" si="17"/>
        <v>14.595029592036504</v>
      </c>
      <c r="G514" s="264">
        <f t="shared" si="17"/>
        <v>18.242130785343317</v>
      </c>
      <c r="H514" s="266" t="str">
        <f t="shared" si="16"/>
        <v/>
      </c>
      <c r="I514" s="268"/>
      <c r="K514" s="262"/>
      <c r="L514" s="262"/>
    </row>
    <row r="515" spans="1:12" ht="12.65" customHeight="1" x14ac:dyDescent="0.35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7"/>
        <v/>
      </c>
      <c r="G515" s="264" t="str">
        <f t="shared" si="17"/>
        <v/>
      </c>
      <c r="H515" s="266" t="str">
        <f t="shared" si="16"/>
        <v/>
      </c>
      <c r="I515" s="268"/>
      <c r="K515" s="262"/>
      <c r="L515" s="262"/>
    </row>
    <row r="516" spans="1:12" ht="12.65" customHeight="1" x14ac:dyDescent="0.35">
      <c r="A516" s="180" t="s">
        <v>532</v>
      </c>
      <c r="B516" s="241">
        <f>'Prior Year'!W71</f>
        <v>330679</v>
      </c>
      <c r="C516" s="241">
        <f>W71</f>
        <v>313185</v>
      </c>
      <c r="D516" s="241">
        <f>'Prior Year'!W59</f>
        <v>865</v>
      </c>
      <c r="E516" s="180">
        <f>W59</f>
        <v>812</v>
      </c>
      <c r="F516" s="264">
        <f t="shared" si="17"/>
        <v>382.28786127167632</v>
      </c>
      <c r="G516" s="264">
        <f t="shared" si="17"/>
        <v>385.69581280788179</v>
      </c>
      <c r="H516" s="266" t="str">
        <f t="shared" si="16"/>
        <v/>
      </c>
      <c r="I516" s="268"/>
      <c r="K516" s="262"/>
      <c r="L516" s="262"/>
    </row>
    <row r="517" spans="1:12" ht="12.65" customHeight="1" x14ac:dyDescent="0.35">
      <c r="A517" s="180" t="s">
        <v>533</v>
      </c>
      <c r="B517" s="241">
        <f>'Prior Year'!X71</f>
        <v>2225969</v>
      </c>
      <c r="C517" s="241">
        <f>X71</f>
        <v>2219255</v>
      </c>
      <c r="D517" s="241">
        <f>'Prior Year'!X59</f>
        <v>18792</v>
      </c>
      <c r="E517" s="180">
        <f>X59</f>
        <v>15832</v>
      </c>
      <c r="F517" s="264">
        <f t="shared" si="17"/>
        <v>118.45301191996595</v>
      </c>
      <c r="G517" s="264">
        <f t="shared" si="17"/>
        <v>140.17527791814047</v>
      </c>
      <c r="H517" s="266" t="str">
        <f t="shared" si="16"/>
        <v/>
      </c>
      <c r="I517" s="268"/>
      <c r="K517" s="262"/>
      <c r="L517" s="262"/>
    </row>
    <row r="518" spans="1:12" ht="12.65" customHeight="1" x14ac:dyDescent="0.35">
      <c r="A518" s="180" t="s">
        <v>534</v>
      </c>
      <c r="B518" s="241">
        <f>'Prior Year'!Y71</f>
        <v>4995961</v>
      </c>
      <c r="C518" s="241">
        <f>Y71</f>
        <v>5111005</v>
      </c>
      <c r="D518" s="241">
        <f>'Prior Year'!Y59</f>
        <v>30604</v>
      </c>
      <c r="E518" s="180">
        <f>Y59</f>
        <v>25113</v>
      </c>
      <c r="F518" s="264">
        <f t="shared" si="17"/>
        <v>163.24536008364919</v>
      </c>
      <c r="G518" s="264">
        <f t="shared" si="17"/>
        <v>203.52028829689803</v>
      </c>
      <c r="H518" s="266" t="str">
        <f t="shared" si="16"/>
        <v/>
      </c>
      <c r="I518" s="268"/>
      <c r="K518" s="262"/>
      <c r="L518" s="262"/>
    </row>
    <row r="519" spans="1:12" ht="12.65" customHeight="1" x14ac:dyDescent="0.35">
      <c r="A519" s="180" t="s">
        <v>535</v>
      </c>
      <c r="B519" s="241">
        <f>'Prior Year'!Z71</f>
        <v>1623647</v>
      </c>
      <c r="C519" s="241">
        <f>Z71</f>
        <v>1607376</v>
      </c>
      <c r="D519" s="241">
        <f>'Prior Year'!Z59</f>
        <v>14150</v>
      </c>
      <c r="E519" s="180">
        <f>Z59</f>
        <v>15433</v>
      </c>
      <c r="F519" s="264">
        <f t="shared" si="17"/>
        <v>114.74537102473498</v>
      </c>
      <c r="G519" s="264">
        <f t="shared" si="17"/>
        <v>104.15188233007193</v>
      </c>
      <c r="H519" s="266" t="str">
        <f t="shared" si="16"/>
        <v/>
      </c>
      <c r="I519" s="268"/>
      <c r="K519" s="262"/>
      <c r="L519" s="262"/>
    </row>
    <row r="520" spans="1:12" ht="12.65" customHeight="1" x14ac:dyDescent="0.35">
      <c r="A520" s="180" t="s">
        <v>536</v>
      </c>
      <c r="B520" s="241">
        <f>'Prior Year'!AA71</f>
        <v>279321</v>
      </c>
      <c r="C520" s="241">
        <f>AA71</f>
        <v>261244</v>
      </c>
      <c r="D520" s="241">
        <f>'Prior Year'!AA59</f>
        <v>1929</v>
      </c>
      <c r="E520" s="180">
        <f>AA59</f>
        <v>1077</v>
      </c>
      <c r="F520" s="264">
        <f t="shared" si="17"/>
        <v>144.80093312597199</v>
      </c>
      <c r="G520" s="264">
        <f t="shared" si="17"/>
        <v>242.56638811513463</v>
      </c>
      <c r="H520" s="266">
        <f t="shared" si="16"/>
        <v>0.67517144315713717</v>
      </c>
      <c r="I520" s="268"/>
      <c r="K520" s="262"/>
      <c r="L520" s="262"/>
    </row>
    <row r="521" spans="1:12" ht="12.65" customHeight="1" x14ac:dyDescent="0.35">
      <c r="A521" s="180" t="s">
        <v>537</v>
      </c>
      <c r="B521" s="241">
        <f>'Prior Year'!AB71</f>
        <v>4618423</v>
      </c>
      <c r="C521" s="241">
        <f>AB71</f>
        <v>3299309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5" customHeight="1" x14ac:dyDescent="0.35">
      <c r="A522" s="180" t="s">
        <v>538</v>
      </c>
      <c r="B522" s="241">
        <f>'Prior Year'!AC71</f>
        <v>1496255</v>
      </c>
      <c r="C522" s="241">
        <f>AC71</f>
        <v>1567309</v>
      </c>
      <c r="D522" s="241">
        <f>'Prior Year'!AC59</f>
        <v>19655</v>
      </c>
      <c r="E522" s="180">
        <f>AC59</f>
        <v>16963</v>
      </c>
      <c r="F522" s="264">
        <f t="shared" si="17"/>
        <v>76.125922157211903</v>
      </c>
      <c r="G522" s="264">
        <f t="shared" si="17"/>
        <v>92.395743677415552</v>
      </c>
      <c r="H522" s="266" t="str">
        <f t="shared" si="16"/>
        <v/>
      </c>
      <c r="I522" s="268"/>
      <c r="K522" s="262"/>
      <c r="L522" s="262"/>
    </row>
    <row r="523" spans="1:12" ht="12.65" customHeight="1" x14ac:dyDescent="0.35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5" customHeight="1" x14ac:dyDescent="0.35">
      <c r="A524" s="180" t="s">
        <v>540</v>
      </c>
      <c r="B524" s="241">
        <f>'Prior Year'!AE71</f>
        <v>1218576</v>
      </c>
      <c r="C524" s="241">
        <f>AE71</f>
        <v>1035869</v>
      </c>
      <c r="D524" s="241">
        <f>'Prior Year'!AE59</f>
        <v>32251</v>
      </c>
      <c r="E524" s="180">
        <f>AE59</f>
        <v>19366</v>
      </c>
      <c r="F524" s="264">
        <f t="shared" si="17"/>
        <v>37.784130724628696</v>
      </c>
      <c r="G524" s="264">
        <f t="shared" si="17"/>
        <v>53.489052979448516</v>
      </c>
      <c r="H524" s="266">
        <f t="shared" si="16"/>
        <v>0.41564863220693171</v>
      </c>
      <c r="I524" s="268"/>
      <c r="K524" s="262"/>
      <c r="L524" s="262"/>
    </row>
    <row r="525" spans="1:12" ht="12.65" customHeight="1" x14ac:dyDescent="0.35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5" customHeight="1" x14ac:dyDescent="0.35">
      <c r="A526" s="180" t="s">
        <v>542</v>
      </c>
      <c r="B526" s="241">
        <f>'Prior Year'!AG71</f>
        <v>3854125</v>
      </c>
      <c r="C526" s="241">
        <f>AG71</f>
        <v>3783637</v>
      </c>
      <c r="D526" s="241">
        <f>'Prior Year'!AG59</f>
        <v>20552</v>
      </c>
      <c r="E526" s="180">
        <f>AG59</f>
        <v>15301</v>
      </c>
      <c r="F526" s="264">
        <f t="shared" si="17"/>
        <v>187.53041066562864</v>
      </c>
      <c r="G526" s="264">
        <f t="shared" si="17"/>
        <v>247.28037383177571</v>
      </c>
      <c r="H526" s="266">
        <f t="shared" si="16"/>
        <v>0.31861479401697013</v>
      </c>
      <c r="I526" s="268"/>
      <c r="K526" s="262"/>
      <c r="L526" s="262"/>
    </row>
    <row r="527" spans="1:12" ht="12.65" customHeight="1" x14ac:dyDescent="0.35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7"/>
        <v/>
      </c>
      <c r="G527" s="264" t="str">
        <f t="shared" si="17"/>
        <v/>
      </c>
      <c r="H527" s="266" t="str">
        <f t="shared" si="16"/>
        <v/>
      </c>
      <c r="I527" s="268"/>
      <c r="K527" s="262"/>
      <c r="L527" s="262"/>
    </row>
    <row r="528" spans="1:12" ht="12.65" customHeight="1" x14ac:dyDescent="0.35">
      <c r="A528" s="180" t="s">
        <v>544</v>
      </c>
      <c r="B528" s="241">
        <f>'Prior Year'!AI71</f>
        <v>2678173</v>
      </c>
      <c r="C528" s="241">
        <f>AI71</f>
        <v>2360083</v>
      </c>
      <c r="D528" s="241">
        <f>'Prior Year'!AI59</f>
        <v>10016</v>
      </c>
      <c r="E528" s="180">
        <f>AI59</f>
        <v>7280</v>
      </c>
      <c r="F528" s="264">
        <f t="shared" ref="F528:G540" si="18">IF(B528=0,"",IF(D528=0,"",B528/D528))</f>
        <v>267.38947683706073</v>
      </c>
      <c r="G528" s="264">
        <f t="shared" si="18"/>
        <v>324.18722527472528</v>
      </c>
      <c r="H528" s="266" t="str">
        <f t="shared" si="16"/>
        <v/>
      </c>
      <c r="I528" s="268"/>
      <c r="K528" s="262"/>
      <c r="L528" s="262"/>
    </row>
    <row r="529" spans="1:12" ht="12.65" customHeight="1" x14ac:dyDescent="0.35">
      <c r="A529" s="180" t="s">
        <v>545</v>
      </c>
      <c r="B529" s="241">
        <f>'Prior Year'!AJ71</f>
        <v>0</v>
      </c>
      <c r="C529" s="241">
        <f>AJ71</f>
        <v>0</v>
      </c>
      <c r="D529" s="241">
        <f>'Prior Year'!AJ59</f>
        <v>0</v>
      </c>
      <c r="E529" s="180">
        <f>AJ59</f>
        <v>0</v>
      </c>
      <c r="F529" s="264" t="str">
        <f t="shared" si="18"/>
        <v/>
      </c>
      <c r="G529" s="264" t="str">
        <f t="shared" si="18"/>
        <v/>
      </c>
      <c r="H529" s="266" t="str">
        <f t="shared" si="16"/>
        <v/>
      </c>
      <c r="I529" s="268"/>
      <c r="K529" s="262"/>
      <c r="L529" s="262"/>
    </row>
    <row r="530" spans="1:12" ht="12.65" customHeight="1" x14ac:dyDescent="0.35">
      <c r="A530" s="180" t="s">
        <v>546</v>
      </c>
      <c r="B530" s="241">
        <f>'Prior Year'!AK71</f>
        <v>112524</v>
      </c>
      <c r="C530" s="241">
        <f>AK71</f>
        <v>77433</v>
      </c>
      <c r="D530" s="241">
        <f>'Prior Year'!AK59</f>
        <v>4806</v>
      </c>
      <c r="E530" s="180">
        <f>AK59</f>
        <v>2715</v>
      </c>
      <c r="F530" s="264">
        <f t="shared" si="18"/>
        <v>23.413233458177277</v>
      </c>
      <c r="G530" s="264">
        <f t="shared" si="18"/>
        <v>28.520441988950274</v>
      </c>
      <c r="H530" s="266" t="str">
        <f t="shared" si="16"/>
        <v/>
      </c>
      <c r="I530" s="268"/>
      <c r="K530" s="262"/>
      <c r="L530" s="262"/>
    </row>
    <row r="531" spans="1:12" ht="12.65" customHeight="1" x14ac:dyDescent="0.35">
      <c r="A531" s="180" t="s">
        <v>547</v>
      </c>
      <c r="B531" s="241">
        <f>'Prior Year'!AL71</f>
        <v>61845</v>
      </c>
      <c r="C531" s="241">
        <f>AL71</f>
        <v>56145</v>
      </c>
      <c r="D531" s="241">
        <f>'Prior Year'!AL59</f>
        <v>876</v>
      </c>
      <c r="E531" s="180">
        <f>AL59</f>
        <v>798</v>
      </c>
      <c r="F531" s="264">
        <f t="shared" si="18"/>
        <v>70.599315068493155</v>
      </c>
      <c r="G531" s="264">
        <f t="shared" si="18"/>
        <v>70.357142857142861</v>
      </c>
      <c r="H531" s="266" t="str">
        <f t="shared" si="16"/>
        <v/>
      </c>
      <c r="I531" s="268"/>
      <c r="K531" s="262"/>
      <c r="L531" s="262"/>
    </row>
    <row r="532" spans="1:12" ht="12.65" customHeight="1" x14ac:dyDescent="0.35">
      <c r="A532" s="180" t="s">
        <v>548</v>
      </c>
      <c r="B532" s="241">
        <f>'Prior Year'!AM71</f>
        <v>0</v>
      </c>
      <c r="C532" s="241">
        <f>AM71</f>
        <v>0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5" customHeight="1" x14ac:dyDescent="0.35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5" customHeight="1" x14ac:dyDescent="0.35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8"/>
        <v/>
      </c>
      <c r="G534" s="264" t="str">
        <f t="shared" si="18"/>
        <v/>
      </c>
      <c r="H534" s="266" t="str">
        <f t="shared" si="16"/>
        <v/>
      </c>
      <c r="I534" s="268"/>
      <c r="K534" s="262"/>
      <c r="L534" s="262"/>
    </row>
    <row r="535" spans="1:12" ht="12.65" customHeight="1" x14ac:dyDescent="0.35">
      <c r="A535" s="180" t="s">
        <v>550</v>
      </c>
      <c r="B535" s="241">
        <f>'Prior Year'!AP71</f>
        <v>0</v>
      </c>
      <c r="C535" s="241">
        <f>AP71</f>
        <v>0</v>
      </c>
      <c r="D535" s="241">
        <f>'Prior Year'!AP59</f>
        <v>0</v>
      </c>
      <c r="E535" s="180">
        <f>AP59</f>
        <v>0</v>
      </c>
      <c r="F535" s="264" t="str">
        <f t="shared" si="18"/>
        <v/>
      </c>
      <c r="G535" s="264" t="str">
        <f t="shared" si="18"/>
        <v/>
      </c>
      <c r="H535" s="266" t="str">
        <f t="shared" si="16"/>
        <v/>
      </c>
      <c r="I535" s="268"/>
      <c r="K535" s="262"/>
      <c r="L535" s="262"/>
    </row>
    <row r="536" spans="1:12" ht="12.65" customHeight="1" x14ac:dyDescent="0.3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5" customHeight="1" x14ac:dyDescent="0.35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5" customHeight="1" x14ac:dyDescent="0.35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5" customHeight="1" x14ac:dyDescent="0.35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5" customHeight="1" x14ac:dyDescent="0.35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8"/>
        <v/>
      </c>
      <c r="G540" s="264" t="str">
        <f t="shared" si="18"/>
        <v/>
      </c>
      <c r="H540" s="266" t="str">
        <f t="shared" si="16"/>
        <v/>
      </c>
      <c r="I540" s="268"/>
      <c r="K540" s="262"/>
      <c r="L540" s="262"/>
    </row>
    <row r="541" spans="1:12" ht="12.65" customHeight="1" x14ac:dyDescent="0.35">
      <c r="A541" s="180" t="s">
        <v>556</v>
      </c>
      <c r="B541" s="241">
        <f>'Prior Year'!AV71</f>
        <v>2831275</v>
      </c>
      <c r="C541" s="241">
        <f>AV71</f>
        <v>4745080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1247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5">
      <c r="A544" s="180" t="s">
        <v>558</v>
      </c>
      <c r="B544" s="241">
        <f>'Prior Year'!AY71</f>
        <v>2041623</v>
      </c>
      <c r="C544" s="241">
        <f>AY71</f>
        <v>1866429</v>
      </c>
      <c r="D544" s="241">
        <f>'Prior Year'!AY59</f>
        <v>56623</v>
      </c>
      <c r="E544" s="180">
        <f>AY59</f>
        <v>39775</v>
      </c>
      <c r="F544" s="264">
        <f t="shared" ref="F544:G550" si="19">IF(B544=0,"",IF(D544=0,"",B544/D544))</f>
        <v>36.056425834025042</v>
      </c>
      <c r="G544" s="264">
        <f t="shared" si="19"/>
        <v>46.924676304211189</v>
      </c>
      <c r="H544" s="266">
        <f t="shared" si="16"/>
        <v>0.30142340009558577</v>
      </c>
      <c r="I544" s="268"/>
      <c r="K544" s="262"/>
      <c r="L544" s="262"/>
    </row>
    <row r="545" spans="1:13" ht="12.65" customHeight="1" x14ac:dyDescent="0.35">
      <c r="A545" s="180" t="s">
        <v>559</v>
      </c>
      <c r="B545" s="241">
        <f>'Prior Year'!AZ71</f>
        <v>0</v>
      </c>
      <c r="C545" s="241">
        <f>AZ71</f>
        <v>0</v>
      </c>
      <c r="D545" s="241">
        <f>'Prior Year'!AZ59</f>
        <v>0</v>
      </c>
      <c r="E545" s="180">
        <f>AZ59</f>
        <v>0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5" customHeight="1" x14ac:dyDescent="0.35">
      <c r="A546" s="180" t="s">
        <v>560</v>
      </c>
      <c r="B546" s="241">
        <f>'Prior Year'!BA71</f>
        <v>0</v>
      </c>
      <c r="C546" s="241">
        <f>BA71</f>
        <v>0</v>
      </c>
      <c r="D546" s="241">
        <f>'Prior Year'!BA59</f>
        <v>0</v>
      </c>
      <c r="E546" s="180">
        <f>BA59</f>
        <v>0</v>
      </c>
      <c r="F546" s="264" t="str">
        <f t="shared" si="19"/>
        <v/>
      </c>
      <c r="G546" s="264" t="str">
        <f t="shared" si="19"/>
        <v/>
      </c>
      <c r="H546" s="266" t="str">
        <f t="shared" si="16"/>
        <v/>
      </c>
      <c r="I546" s="268"/>
      <c r="K546" s="262"/>
      <c r="L546" s="262"/>
    </row>
    <row r="547" spans="1:13" ht="12.65" customHeight="1" x14ac:dyDescent="0.35">
      <c r="A547" s="180" t="s">
        <v>561</v>
      </c>
      <c r="B547" s="241">
        <f>'Prior Year'!BB71</f>
        <v>1078117</v>
      </c>
      <c r="C547" s="241">
        <f>BB71</f>
        <v>1013545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562</v>
      </c>
      <c r="B548" s="241">
        <f>'Prior Year'!BC71</f>
        <v>0</v>
      </c>
      <c r="C548" s="241">
        <f>BC71</f>
        <v>0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563</v>
      </c>
      <c r="B549" s="241">
        <f>'Prior Year'!BD71</f>
        <v>16559316</v>
      </c>
      <c r="C549" s="241">
        <f>BD71</f>
        <v>9024005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5">
      <c r="A550" s="180" t="s">
        <v>564</v>
      </c>
      <c r="B550" s="241">
        <f>'Prior Year'!BE71</f>
        <v>3391272</v>
      </c>
      <c r="C550" s="241">
        <f>BE71</f>
        <v>3454679</v>
      </c>
      <c r="D550" s="241">
        <f>'Prior Year'!BE59</f>
        <v>155374</v>
      </c>
      <c r="E550" s="180">
        <f>BE59</f>
        <v>155374</v>
      </c>
      <c r="F550" s="264">
        <f t="shared" si="19"/>
        <v>21.826508939719645</v>
      </c>
      <c r="G550" s="264">
        <f t="shared" si="19"/>
        <v>22.234601670807212</v>
      </c>
      <c r="H550" s="266" t="str">
        <f t="shared" si="16"/>
        <v/>
      </c>
      <c r="I550" s="268"/>
      <c r="K550" s="262"/>
      <c r="L550" s="262"/>
    </row>
    <row r="551" spans="1:13" ht="12.65" customHeight="1" x14ac:dyDescent="0.35">
      <c r="A551" s="180" t="s">
        <v>565</v>
      </c>
      <c r="B551" s="241">
        <f>'Prior Year'!BF71</f>
        <v>1823562</v>
      </c>
      <c r="C551" s="241">
        <f>BF71</f>
        <v>1671530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5">
      <c r="A552" s="180" t="s">
        <v>566</v>
      </c>
      <c r="B552" s="241">
        <f>'Prior Year'!BG71</f>
        <v>327372</v>
      </c>
      <c r="C552" s="241">
        <f>BG71</f>
        <v>360372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567</v>
      </c>
      <c r="B553" s="241">
        <f>'Prior Year'!BH71</f>
        <v>2342325</v>
      </c>
      <c r="C553" s="241">
        <f>BH71</f>
        <v>2747649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568</v>
      </c>
      <c r="B554" s="241">
        <f>'Prior Year'!BI71</f>
        <v>0</v>
      </c>
      <c r="C554" s="241">
        <f>BI71</f>
        <v>0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569</v>
      </c>
      <c r="B555" s="241">
        <f>'Prior Year'!BJ71</f>
        <v>457499</v>
      </c>
      <c r="C555" s="241">
        <f>BJ71</f>
        <v>416697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570</v>
      </c>
      <c r="B556" s="241">
        <f>'Prior Year'!BK71</f>
        <v>2354295</v>
      </c>
      <c r="C556" s="241">
        <f>BK71</f>
        <v>1769835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571</v>
      </c>
      <c r="B557" s="241">
        <f>'Prior Year'!BL71</f>
        <v>1381707</v>
      </c>
      <c r="C557" s="241">
        <f>BL71</f>
        <v>1506657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573</v>
      </c>
      <c r="B559" s="241">
        <f>'Prior Year'!BN71</f>
        <v>5489422</v>
      </c>
      <c r="C559" s="241">
        <f>BN71</f>
        <v>6890030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574</v>
      </c>
      <c r="B560" s="241">
        <f>'Prior Year'!BO71</f>
        <v>0</v>
      </c>
      <c r="C560" s="241">
        <f>BO71</f>
        <v>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575</v>
      </c>
      <c r="B561" s="241">
        <f>'Prior Year'!BP71</f>
        <v>354889</v>
      </c>
      <c r="C561" s="241">
        <f>BP71</f>
        <v>242923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577</v>
      </c>
      <c r="B563" s="241">
        <f>'Prior Year'!BR71</f>
        <v>684798</v>
      </c>
      <c r="C563" s="241">
        <f>BR71</f>
        <v>756427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1248</v>
      </c>
      <c r="B564" s="241">
        <f>'Prior Year'!BS71</f>
        <v>10228</v>
      </c>
      <c r="C564" s="241">
        <f>BS71</f>
        <v>10857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579</v>
      </c>
      <c r="B566" s="241">
        <f>'Prior Year'!BU71</f>
        <v>119988</v>
      </c>
      <c r="C566" s="241">
        <f>BU71</f>
        <v>127359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580</v>
      </c>
      <c r="B567" s="241">
        <f>'Prior Year'!BV71</f>
        <v>1131842</v>
      </c>
      <c r="C567" s="241">
        <f>BV71</f>
        <v>952027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581</v>
      </c>
      <c r="B568" s="241">
        <f>'Prior Year'!BW71</f>
        <v>128080</v>
      </c>
      <c r="C568" s="241">
        <f>BW71</f>
        <v>195321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582</v>
      </c>
      <c r="B569" s="241">
        <f>'Prior Year'!BX71</f>
        <v>640855</v>
      </c>
      <c r="C569" s="241">
        <f>BX71</f>
        <v>621166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583</v>
      </c>
      <c r="B570" s="241">
        <f>'Prior Year'!BY71</f>
        <v>1430566</v>
      </c>
      <c r="C570" s="241">
        <f>BY71</f>
        <v>1336688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585</v>
      </c>
      <c r="B572" s="241">
        <f>'Prior Year'!CA71</f>
        <v>304481</v>
      </c>
      <c r="C572" s="241">
        <f>CA71</f>
        <v>281686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587</v>
      </c>
      <c r="B574" s="241">
        <f>'Prior Year'!CC71</f>
        <v>0</v>
      </c>
      <c r="C574" s="241">
        <f>CC71</f>
        <v>0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5">
      <c r="A575" s="180" t="s">
        <v>588</v>
      </c>
      <c r="B575" s="241">
        <f>'Prior Year'!CD71</f>
        <v>16668620</v>
      </c>
      <c r="C575" s="241">
        <f>CD71</f>
        <v>12925505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578" spans="13:13" ht="12.65" customHeight="1" x14ac:dyDescent="0.35">
      <c r="M578" s="266"/>
    </row>
    <row r="612" spans="1:14" ht="12.65" customHeight="1" x14ac:dyDescent="0.35">
      <c r="A612" s="196"/>
      <c r="C612" s="181" t="s">
        <v>589</v>
      </c>
      <c r="D612" s="180">
        <f>CE76-(BE76+CD76)</f>
        <v>128336</v>
      </c>
      <c r="E612" s="180">
        <f>SUM(C624:D647)+SUM(C668:D713)</f>
        <v>97203722.284877181</v>
      </c>
      <c r="F612" s="180">
        <f>CE64-(AX64+BD64+BE64+BG64+BJ64+BN64+BP64+BQ64+CB64+CC64+CD64)</f>
        <v>6753175</v>
      </c>
      <c r="G612" s="180">
        <f>CE77-(AX77+AY77+BD77+BE77+BG77+BJ77+BN77+BP77+BQ77+CB77+CC77+CD77)</f>
        <v>39775.009999999995</v>
      </c>
      <c r="H612" s="197">
        <f>CE60-(AX60+AY60+AZ60+BD60+BE60+BG60+BJ60+BN60+BO60+BP60+BQ60+BR60+CB60+CC60+CD60)</f>
        <v>369.15000000000009</v>
      </c>
      <c r="I612" s="180">
        <f>CE78-(AX78+AY78+AZ78+BD78+BE78+BF78+BG78+BJ78+BN78+BO78+BP78+BQ78+BR78+CB78+CC78+CD78)</f>
        <v>39604</v>
      </c>
      <c r="J612" s="180">
        <f>CE79-(AX79+AY79+AZ79+BA79+BD79+BE79+BF79+BG79+BJ79+BN79+BO79+BP79+BQ79+BR79+CB79+CC79+CD79)</f>
        <v>458573</v>
      </c>
      <c r="K612" s="180">
        <f>CE75-(AW75+AX75+AY75+AZ75+BA75+BB75+BC75+BD75+BE75+BF75+BG75+BH75+BI75+BJ75+BK75+BL75+BM75+BN75+BO75+BP75+BQ75+BR75+BS75+BT75+BU75+BV75+BW75+BX75+CB75+CC75+CD75)</f>
        <v>521165388</v>
      </c>
      <c r="L612" s="197">
        <f>CE80-(AW80+AX80+AY80+AZ80+BA80+BB80+BC80+BD80+BE80+BF80+BG80+BH80+BI80+BJ80+BK80+BL80+BM80+BN80+BO80+BP80+BQ80+BR80+BS80+BT80+BU80+BV80+BW80+BX80+BY80+BZ80+CA80+CB80+CC80+CD80)</f>
        <v>358.5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3454679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4">
        <f>CD69-CD70</f>
        <v>12925505</v>
      </c>
      <c r="D615" s="267">
        <f>SUM(C614:C615)</f>
        <v>16380184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416697</v>
      </c>
      <c r="D617" s="180">
        <f>(D615/D612)*BJ76</f>
        <v>208683.46247350704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360372</v>
      </c>
      <c r="D618" s="180">
        <f>(D615/D612)*BG76</f>
        <v>43013.043947138758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6890030</v>
      </c>
      <c r="D619" s="180">
        <f>(D615/D612)*BN76</f>
        <v>494586.18781947385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242923</v>
      </c>
      <c r="D621" s="180">
        <f>(D615/D612)*BP76</f>
        <v>93046.020882682962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8749350.7151228022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9024005</v>
      </c>
      <c r="D624" s="180">
        <f>(D615/D612)*BD76</f>
        <v>327384.14755018079</v>
      </c>
      <c r="E624" s="180">
        <f>(E623/E612)*SUM(C624:D624)</f>
        <v>841722.73861820006</v>
      </c>
      <c r="F624" s="180">
        <f>SUM(C624:E624)</f>
        <v>10193111.886168381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1866429</v>
      </c>
      <c r="D625" s="180">
        <f>(D615/D612)*AY76</f>
        <v>699312.96079042519</v>
      </c>
      <c r="E625" s="180">
        <f>(E623/E612)*SUM(C625:D625)</f>
        <v>230943.58664240994</v>
      </c>
      <c r="F625" s="180">
        <f>(F624/F612)*AY64</f>
        <v>745585.75665325159</v>
      </c>
      <c r="G625" s="180">
        <f>SUM(C625:F625)</f>
        <v>3542271.3040860868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756427</v>
      </c>
      <c r="D626" s="180">
        <f>(D615/D612)*BR76</f>
        <v>129294.40213190376</v>
      </c>
      <c r="E626" s="180">
        <f>(E623/E612)*SUM(C626:D626)</f>
        <v>79724.181348022292</v>
      </c>
      <c r="F626" s="180">
        <f>(F624/F612)*BR64</f>
        <v>13975.355733271097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979420.93921319721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1671530</v>
      </c>
      <c r="D629" s="180">
        <f>(D615/D612)*BF76</f>
        <v>292156.84746290988</v>
      </c>
      <c r="E629" s="180">
        <f>(E623/E612)*SUM(C629:D629)</f>
        <v>176752.33539693206</v>
      </c>
      <c r="F629" s="180">
        <f>(F624/F612)*BF64</f>
        <v>159544.55683315924</v>
      </c>
      <c r="G629" s="180">
        <f>(G625/G612)*BF77</f>
        <v>0</v>
      </c>
      <c r="H629" s="180">
        <f>(H628/H612)*BF60</f>
        <v>50251.205712306517</v>
      </c>
      <c r="I629" s="180">
        <f>SUM(C629:H629)</f>
        <v>2350234.9454053072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1013545</v>
      </c>
      <c r="D632" s="180">
        <f>(D615/D612)*BB76</f>
        <v>94450.007480364045</v>
      </c>
      <c r="E632" s="180">
        <f>(E623/E612)*SUM(C632:D632)</f>
        <v>99731.128429832097</v>
      </c>
      <c r="F632" s="180">
        <f>(F624/F612)*BB64</f>
        <v>5465.4674489874324</v>
      </c>
      <c r="G632" s="180">
        <f>(G625/G612)*BB77</f>
        <v>0</v>
      </c>
      <c r="H632" s="180">
        <f>(H628/H612)*BB60</f>
        <v>19341.673159594215</v>
      </c>
      <c r="I632" s="180">
        <f>(I629/I612)*BB78</f>
        <v>11215.897502312975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1769835</v>
      </c>
      <c r="D635" s="180">
        <f>(D615/D612)*BK76</f>
        <v>0</v>
      </c>
      <c r="E635" s="180">
        <f>(E623/E612)*SUM(C635:D635)</f>
        <v>159303.6435118955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2747649</v>
      </c>
      <c r="D636" s="180">
        <f>(D615/D612)*BH76</f>
        <v>95981.629223288866</v>
      </c>
      <c r="E636" s="180">
        <f>(E623/E612)*SUM(C636:D636)</f>
        <v>255956.4705395101</v>
      </c>
      <c r="F636" s="180">
        <f>(F624/F612)*BH64</f>
        <v>121840.22740048704</v>
      </c>
      <c r="G636" s="180">
        <f>(G625/G612)*BH77</f>
        <v>0</v>
      </c>
      <c r="H636" s="180">
        <f>(H628/H612)*BH60</f>
        <v>13027.107711057286</v>
      </c>
      <c r="I636" s="180">
        <f>(I629/I612)*BH78</f>
        <v>11393.927621397308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1506657</v>
      </c>
      <c r="D637" s="180">
        <f>(D615/D612)*BL76</f>
        <v>229870.89658396709</v>
      </c>
      <c r="E637" s="180">
        <f>(E623/E612)*SUM(C637:D637)</f>
        <v>156305.65616900672</v>
      </c>
      <c r="F637" s="180">
        <f>(F624/F612)*BL64</f>
        <v>30767.215818878714</v>
      </c>
      <c r="G637" s="180">
        <f>(G625/G612)*BL77</f>
        <v>0</v>
      </c>
      <c r="H637" s="180">
        <f>(H628/H612)*BL60</f>
        <v>50065.483199114242</v>
      </c>
      <c r="I637" s="180">
        <f>(I629/I612)*BL78</f>
        <v>27238.608219902941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10857</v>
      </c>
      <c r="D639" s="180">
        <f>(D615/D612)*BS76</f>
        <v>36503.651539708269</v>
      </c>
      <c r="E639" s="180">
        <f>(E623/E612)*SUM(C639:D639)</f>
        <v>4262.9535235616822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4332.066231052102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127359</v>
      </c>
      <c r="D641" s="180">
        <f>(D615/D612)*BU76</f>
        <v>428215.91229273158</v>
      </c>
      <c r="E641" s="180">
        <f>(E623/E612)*SUM(C641:D641)</f>
        <v>50007.547467438439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952027</v>
      </c>
      <c r="D642" s="180">
        <f>(D615/D612)*BV76</f>
        <v>0</v>
      </c>
      <c r="E642" s="180">
        <f>(E623/E612)*SUM(C642:D642)</f>
        <v>85692.378002299272</v>
      </c>
      <c r="F642" s="180">
        <f>(F624/F612)*BV64</f>
        <v>15513.414648078662</v>
      </c>
      <c r="G642" s="180">
        <f>(G625/G612)*BV77</f>
        <v>0</v>
      </c>
      <c r="H642" s="180">
        <f>(H628/H612)*BV60</f>
        <v>27168.55050126815</v>
      </c>
      <c r="I642" s="180">
        <f>(I629/I612)*BV78</f>
        <v>50738.583939034892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195321</v>
      </c>
      <c r="D643" s="180">
        <f>(D615/D612)*BW76</f>
        <v>0</v>
      </c>
      <c r="E643" s="180">
        <f>(E623/E612)*SUM(C643:D643)</f>
        <v>17580.930964969582</v>
      </c>
      <c r="F643" s="180">
        <f>(F624/F612)*BW64</f>
        <v>1998.4200227725382</v>
      </c>
      <c r="G643" s="180">
        <f>(G625/G612)*BW77</f>
        <v>0</v>
      </c>
      <c r="H643" s="180">
        <f>(H628/H612)*BW60</f>
        <v>3130.7509366695717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621166</v>
      </c>
      <c r="D644" s="180">
        <f>(D615/D612)*BX76</f>
        <v>10593.717055230021</v>
      </c>
      <c r="E644" s="180">
        <f>(E623/E612)*SUM(C644:D644)</f>
        <v>56864.975972868844</v>
      </c>
      <c r="F644" s="180">
        <f>(F624/F612)*BX64</f>
        <v>13312.737613937907</v>
      </c>
      <c r="G644" s="180">
        <f>(G625/G612)*BX77</f>
        <v>0</v>
      </c>
      <c r="H644" s="180">
        <f>(H628/H612)*BX60</f>
        <v>5571.675395767882</v>
      </c>
      <c r="I644" s="180">
        <f>(I629/I612)*BX78</f>
        <v>1246.2108335903306</v>
      </c>
      <c r="J644" s="180">
        <f>(J630/J612)*BX79</f>
        <v>0</v>
      </c>
      <c r="K644" s="180">
        <f>SUM(C631:J644)</f>
        <v>11139105.516960574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1336688</v>
      </c>
      <c r="D645" s="180">
        <f>(D615/D612)*BY76</f>
        <v>148694.94420895149</v>
      </c>
      <c r="E645" s="180">
        <f>(E623/E612)*SUM(C645:D645)</f>
        <v>133699.98616984778</v>
      </c>
      <c r="F645" s="180">
        <f>(F624/F612)*BY64</f>
        <v>3867.0333069057729</v>
      </c>
      <c r="G645" s="180">
        <f>(G625/G612)*BY77</f>
        <v>0</v>
      </c>
      <c r="H645" s="180">
        <f>(H628/H612)*BY60</f>
        <v>24648.030679373151</v>
      </c>
      <c r="I645" s="180">
        <f>(I629/I612)*BY78</f>
        <v>17624.98178934896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281686</v>
      </c>
      <c r="D647" s="180">
        <f>(D615/D612)*CA76</f>
        <v>285775.09020072309</v>
      </c>
      <c r="E647" s="180">
        <f>(E623/E612)*SUM(C647:D647)</f>
        <v>51077.427681228794</v>
      </c>
      <c r="F647" s="180">
        <f>(F624/F612)*CA64</f>
        <v>650.54307387837162</v>
      </c>
      <c r="G647" s="180">
        <f>(G625/G612)*CA77</f>
        <v>0</v>
      </c>
      <c r="H647" s="180">
        <f>(H628/H612)*CA60</f>
        <v>3687.9184762463597</v>
      </c>
      <c r="I647" s="180">
        <f>(I629/I612)*CA78</f>
        <v>33885.065999051374</v>
      </c>
      <c r="J647" s="180">
        <f>(J630/J612)*CA79</f>
        <v>0</v>
      </c>
      <c r="K647" s="180">
        <v>0</v>
      </c>
      <c r="L647" s="180">
        <f>SUM(C645:K647)</f>
        <v>2321985.0215855548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48171387</v>
      </c>
      <c r="L648" s="267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7711928</v>
      </c>
      <c r="D668" s="180">
        <f>(D615/D612)*C76</f>
        <v>1073666.8417903006</v>
      </c>
      <c r="E668" s="180">
        <f>(E623/E612)*SUM(C668:D668)</f>
        <v>790795.33895335428</v>
      </c>
      <c r="F668" s="180">
        <f>(F624/F612)*C64</f>
        <v>513621.11470481567</v>
      </c>
      <c r="G668" s="180">
        <f>(G625/G612)*C77</f>
        <v>1635059.4788268744</v>
      </c>
      <c r="H668" s="180">
        <f>(H628/H612)*C60</f>
        <v>159031.53486777467</v>
      </c>
      <c r="I668" s="180">
        <f>(I629/I612)*C78</f>
        <v>127232.19177226994</v>
      </c>
      <c r="J668" s="180">
        <f>(J630/J612)*C79</f>
        <v>0</v>
      </c>
      <c r="K668" s="180">
        <f>(K644/K612)*C75</f>
        <v>732818.62852058082</v>
      </c>
      <c r="L668" s="180">
        <f>(L647/L612)*C80</f>
        <v>310245.69744476449</v>
      </c>
      <c r="M668" s="180">
        <f t="shared" ref="M668:M713" si="20">ROUND(SUM(D668:L668),0)</f>
        <v>5342471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4165180</v>
      </c>
      <c r="D670" s="180">
        <f>(D615/D612)*E76</f>
        <v>1525239.9856626356</v>
      </c>
      <c r="E670" s="180">
        <f>(E623/E612)*SUM(C670:D670)</f>
        <v>512197.2595349091</v>
      </c>
      <c r="F670" s="180">
        <f>(F624/F612)*E64</f>
        <v>298422.67337039585</v>
      </c>
      <c r="G670" s="180">
        <f>(G625/G612)*E77</f>
        <v>1296410.4121015193</v>
      </c>
      <c r="H670" s="180">
        <f>(H628/H612)*E60</f>
        <v>89040.679181890533</v>
      </c>
      <c r="I670" s="180">
        <f>(I629/I612)*E78</f>
        <v>180759.91424362606</v>
      </c>
      <c r="J670" s="180">
        <f>(J630/J612)*E79</f>
        <v>0</v>
      </c>
      <c r="K670" s="180">
        <f>(K644/K612)*E75</f>
        <v>305757.86870434287</v>
      </c>
      <c r="L670" s="180">
        <f>(L647/L612)*E80</f>
        <v>180706.78410665825</v>
      </c>
      <c r="M670" s="180">
        <f t="shared" si="20"/>
        <v>4388536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623346</v>
      </c>
      <c r="D675" s="180">
        <f>(D615/D612)*J76</f>
        <v>91003.858558783191</v>
      </c>
      <c r="E675" s="180">
        <f>(E623/E612)*SUM(C675:D675)</f>
        <v>64298.951716188996</v>
      </c>
      <c r="F675" s="180">
        <f>(F624/F612)*J64</f>
        <v>24454.985807372104</v>
      </c>
      <c r="G675" s="180">
        <f>(G625/G612)*J77</f>
        <v>270812.02789749694</v>
      </c>
      <c r="H675" s="180">
        <f>(H628/H612)*J60</f>
        <v>0</v>
      </c>
      <c r="I675" s="180">
        <f>(I629/I612)*J78</f>
        <v>10800.493891116199</v>
      </c>
      <c r="J675" s="180">
        <f>(J630/J612)*J79</f>
        <v>0</v>
      </c>
      <c r="K675" s="180">
        <f>(K644/K612)*J75</f>
        <v>77741.56483567768</v>
      </c>
      <c r="L675" s="180">
        <f>(L647/L612)*J80</f>
        <v>0</v>
      </c>
      <c r="M675" s="180">
        <f t="shared" si="20"/>
        <v>539112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16969.597647291921</v>
      </c>
      <c r="M679" s="180">
        <f t="shared" si="20"/>
        <v>16970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4184496</v>
      </c>
      <c r="D680" s="180">
        <f>(D615/D612)*O76</f>
        <v>2878810.7009724472</v>
      </c>
      <c r="E680" s="180">
        <f>(E623/E612)*SUM(C680:D680)</f>
        <v>635771.40959857684</v>
      </c>
      <c r="F680" s="180">
        <f>(F624/F612)*O64</f>
        <v>327026.94667218009</v>
      </c>
      <c r="G680" s="180">
        <f>(G625/G612)*O77</f>
        <v>339989.38526019652</v>
      </c>
      <c r="H680" s="180">
        <f>(H628/H612)*O60</f>
        <v>59218.949920732914</v>
      </c>
      <c r="I680" s="180">
        <f>(I629/I612)*O78</f>
        <v>341165.05153861002</v>
      </c>
      <c r="J680" s="180">
        <f>(J630/J612)*O79</f>
        <v>0</v>
      </c>
      <c r="K680" s="180">
        <f>(K644/K612)*O75</f>
        <v>460887.05394345423</v>
      </c>
      <c r="L680" s="180">
        <f>(L647/L612)*O80</f>
        <v>126041.36267797741</v>
      </c>
      <c r="M680" s="180">
        <f t="shared" si="20"/>
        <v>5168911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4688337</v>
      </c>
      <c r="D681" s="180">
        <f>(D615/D612)*P76</f>
        <v>288327.79310559778</v>
      </c>
      <c r="E681" s="180">
        <f>(E623/E612)*SUM(C681:D681)</f>
        <v>447951.83397271228</v>
      </c>
      <c r="F681" s="180">
        <f>(F624/F612)*P64</f>
        <v>1845303.9182633883</v>
      </c>
      <c r="G681" s="180">
        <f>(G625/G612)*P77</f>
        <v>0</v>
      </c>
      <c r="H681" s="180">
        <f>(H628/H612)*P60</f>
        <v>48553.171305977259</v>
      </c>
      <c r="I681" s="180">
        <f>(I629/I612)*P78</f>
        <v>34181.782864191926</v>
      </c>
      <c r="J681" s="180">
        <f>(J630/J612)*P79</f>
        <v>0</v>
      </c>
      <c r="K681" s="180">
        <f>(K644/K612)*P75</f>
        <v>2331306.4916305253</v>
      </c>
      <c r="L681" s="180">
        <f>(L647/L612)*P80</f>
        <v>78435.812026223342</v>
      </c>
      <c r="M681" s="180">
        <f t="shared" si="20"/>
        <v>5074061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1028207</v>
      </c>
      <c r="D682" s="180">
        <f>(D615/D612)*Q76</f>
        <v>366568.13714000746</v>
      </c>
      <c r="E682" s="180">
        <f>(E623/E612)*SUM(C682:D682)</f>
        <v>125544.33674676277</v>
      </c>
      <c r="F682" s="180">
        <f>(F624/F612)*Q64</f>
        <v>29615.558358625356</v>
      </c>
      <c r="G682" s="180">
        <f>(G625/G612)*Q77</f>
        <v>0</v>
      </c>
      <c r="H682" s="180">
        <f>(H628/H612)*Q60</f>
        <v>13982.252064617493</v>
      </c>
      <c r="I682" s="180">
        <f>(I629/I612)*Q78</f>
        <v>43439.349056577237</v>
      </c>
      <c r="J682" s="180">
        <f>(J630/J612)*Q79</f>
        <v>0</v>
      </c>
      <c r="K682" s="180">
        <f>(K644/K612)*Q75</f>
        <v>359221.38892935473</v>
      </c>
      <c r="L682" s="180">
        <f>(L647/L612)*Q80</f>
        <v>26620.246690980839</v>
      </c>
      <c r="M682" s="180">
        <f t="shared" si="20"/>
        <v>964991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1628727</v>
      </c>
      <c r="D683" s="180">
        <f>(D615/D612)*R76</f>
        <v>43778.854818601169</v>
      </c>
      <c r="E683" s="180">
        <f>(E623/E612)*SUM(C683:D683)</f>
        <v>150543.00342550603</v>
      </c>
      <c r="F683" s="180">
        <f>(F624/F612)*R64</f>
        <v>95527.193973754664</v>
      </c>
      <c r="G683" s="180">
        <f>(G625/G612)*R77</f>
        <v>0</v>
      </c>
      <c r="H683" s="180">
        <f>(H628/H612)*R60</f>
        <v>4271.6178034220429</v>
      </c>
      <c r="I683" s="180">
        <f>(I629/I612)*R78</f>
        <v>5162.8734534456553</v>
      </c>
      <c r="J683" s="180">
        <f>(J630/J612)*R79</f>
        <v>0</v>
      </c>
      <c r="K683" s="180">
        <f>(K644/K612)*R75</f>
        <v>232954.79050399095</v>
      </c>
      <c r="L683" s="180">
        <f>(L647/L612)*R80</f>
        <v>8355.2599103078537</v>
      </c>
      <c r="M683" s="180">
        <f t="shared" si="20"/>
        <v>540594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3499996</v>
      </c>
      <c r="D684" s="180">
        <f>(D615/D612)*S76</f>
        <v>368482.66431866353</v>
      </c>
      <c r="E684" s="180">
        <f>(E623/E612)*SUM(C684:D684)</f>
        <v>348203.50262820767</v>
      </c>
      <c r="F684" s="180">
        <f>(F624/F612)*S64</f>
        <v>506990.40536943823</v>
      </c>
      <c r="G684" s="180">
        <f>(G625/G612)*S77</f>
        <v>0</v>
      </c>
      <c r="H684" s="180">
        <f>(H628/H612)*S60</f>
        <v>32076.931207063662</v>
      </c>
      <c r="I684" s="180">
        <f>(I629/I612)*S78</f>
        <v>43676.722548689686</v>
      </c>
      <c r="J684" s="180">
        <f>(J630/J612)*S79</f>
        <v>0</v>
      </c>
      <c r="K684" s="180">
        <f>(K644/K612)*S75</f>
        <v>0</v>
      </c>
      <c r="L684" s="180">
        <f>(L647/L612)*S80</f>
        <v>38602.596174755665</v>
      </c>
      <c r="M684" s="180">
        <f t="shared" si="20"/>
        <v>1338033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3814539</v>
      </c>
      <c r="D686" s="180">
        <f>(D615/D612)*U76</f>
        <v>350230.83854880935</v>
      </c>
      <c r="E686" s="180">
        <f>(E623/E612)*SUM(C686:D686)</f>
        <v>374872.80434010742</v>
      </c>
      <c r="F686" s="180">
        <f>(F624/F612)*U64</f>
        <v>1691214.2632144436</v>
      </c>
      <c r="G686" s="180">
        <f>(G625/G612)*U77</f>
        <v>0</v>
      </c>
      <c r="H686" s="180">
        <f>(H628/H612)*U60</f>
        <v>51392.072579058986</v>
      </c>
      <c r="I686" s="180">
        <f>(I629/I612)*U78</f>
        <v>41481.017746649573</v>
      </c>
      <c r="J686" s="180">
        <f>(J630/J612)*U79</f>
        <v>0</v>
      </c>
      <c r="K686" s="180">
        <f>(K644/K612)*U75</f>
        <v>895509.55015027337</v>
      </c>
      <c r="L686" s="180">
        <f>(L647/L612)*U80</f>
        <v>112375.0073208072</v>
      </c>
      <c r="M686" s="180">
        <f t="shared" si="20"/>
        <v>3517076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313185</v>
      </c>
      <c r="D688" s="180">
        <f>(D615/D612)*W76</f>
        <v>112574.19810497444</v>
      </c>
      <c r="E688" s="180">
        <f>(E623/E612)*SUM(C688:D688)</f>
        <v>38322.776709029567</v>
      </c>
      <c r="F688" s="180">
        <f>(F624/F612)*W64</f>
        <v>6653.3500456052479</v>
      </c>
      <c r="G688" s="180">
        <f>(G625/G612)*W77</f>
        <v>0</v>
      </c>
      <c r="H688" s="180">
        <f>(H628/H612)*W60</f>
        <v>3236.8780870651503</v>
      </c>
      <c r="I688" s="180">
        <f>(I629/I612)*W78</f>
        <v>13352.25893132497</v>
      </c>
      <c r="J688" s="180">
        <f>(J630/J612)*W79</f>
        <v>0</v>
      </c>
      <c r="K688" s="180">
        <f>(K644/K612)*W75</f>
        <v>115957.53936713714</v>
      </c>
      <c r="L688" s="180">
        <f>(L647/L612)*W80</f>
        <v>6995.1013202577387</v>
      </c>
      <c r="M688" s="180">
        <f t="shared" si="20"/>
        <v>297092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2219255</v>
      </c>
      <c r="D689" s="180">
        <f>(D615/D612)*X76</f>
        <v>763768.70913851145</v>
      </c>
      <c r="E689" s="180">
        <f>(E623/E612)*SUM(C689:D689)</f>
        <v>268503.30429002346</v>
      </c>
      <c r="F689" s="180">
        <f>(F624/F612)*X64</f>
        <v>85676.975643986094</v>
      </c>
      <c r="G689" s="180">
        <f>(G625/G612)*X77</f>
        <v>0</v>
      </c>
      <c r="H689" s="180">
        <f>(H628/H612)*X60</f>
        <v>12708.726259870549</v>
      </c>
      <c r="I689" s="180">
        <f>(I629/I612)*X78</f>
        <v>90498.64386786925</v>
      </c>
      <c r="J689" s="180">
        <f>(J630/J612)*X79</f>
        <v>0</v>
      </c>
      <c r="K689" s="180">
        <f>(K644/K612)*X75</f>
        <v>1600924.5867142223</v>
      </c>
      <c r="L689" s="180">
        <f>(L647/L612)*X80</f>
        <v>30635.953004462135</v>
      </c>
      <c r="M689" s="180">
        <f t="shared" si="20"/>
        <v>2852717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5111005</v>
      </c>
      <c r="D690" s="180">
        <f>(D615/D612)*Y76</f>
        <v>1794677.7772721606</v>
      </c>
      <c r="E690" s="180">
        <f>(E623/E612)*SUM(C690:D690)</f>
        <v>621583.6094081091</v>
      </c>
      <c r="F690" s="180">
        <f>(F624/F612)*Y64</f>
        <v>128247.54839495034</v>
      </c>
      <c r="G690" s="180">
        <f>(G625/G612)*Y77</f>
        <v>0</v>
      </c>
      <c r="H690" s="180">
        <f>(H628/H612)*Y60</f>
        <v>75164.554267668616</v>
      </c>
      <c r="I690" s="180">
        <f>(I629/I612)*Y78</f>
        <v>212686.64893274975</v>
      </c>
      <c r="J690" s="180">
        <f>(J630/J612)*Y79</f>
        <v>0</v>
      </c>
      <c r="K690" s="180">
        <f>(K644/K612)*Y75</f>
        <v>955077.82101361966</v>
      </c>
      <c r="L690" s="180">
        <f>(L647/L612)*Y80</f>
        <v>152078.68425893676</v>
      </c>
      <c r="M690" s="180">
        <f t="shared" si="20"/>
        <v>3939517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1607376</v>
      </c>
      <c r="D691" s="180">
        <f>(D615/D612)*Z76</f>
        <v>642515.32115696301</v>
      </c>
      <c r="E691" s="180">
        <f>(E623/E612)*SUM(C691:D691)</f>
        <v>202513.72866176584</v>
      </c>
      <c r="F691" s="180">
        <f>(F624/F612)*Z64</f>
        <v>43702.608262353526</v>
      </c>
      <c r="G691" s="180">
        <f>(G625/G612)*Z77</f>
        <v>0</v>
      </c>
      <c r="H691" s="180">
        <f>(H628/H612)*Z60</f>
        <v>15547.627532952281</v>
      </c>
      <c r="I691" s="180">
        <f>(I629/I612)*Z78</f>
        <v>76137.547595066397</v>
      </c>
      <c r="J691" s="180">
        <f>(J630/J612)*Z79</f>
        <v>0</v>
      </c>
      <c r="K691" s="180">
        <f>(K644/K612)*Z75</f>
        <v>905191.44788752566</v>
      </c>
      <c r="L691" s="180">
        <f>(L647/L612)*Z80</f>
        <v>32384.728334526568</v>
      </c>
      <c r="M691" s="180">
        <f t="shared" si="20"/>
        <v>1917993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261244</v>
      </c>
      <c r="D692" s="180">
        <f>(D615/D612)*AA76</f>
        <v>46459.192868719612</v>
      </c>
      <c r="E692" s="180">
        <f>(E623/E612)*SUM(C692:D692)</f>
        <v>27696.502636816727</v>
      </c>
      <c r="F692" s="180">
        <f>(F624/F612)*AA64</f>
        <v>37701.310671308507</v>
      </c>
      <c r="G692" s="180">
        <f>(G625/G612)*AA77</f>
        <v>0</v>
      </c>
      <c r="H692" s="180">
        <f>(H628/H612)*AA60</f>
        <v>3077.687361471782</v>
      </c>
      <c r="I692" s="180">
        <f>(I629/I612)*AA78</f>
        <v>5518.9336916143211</v>
      </c>
      <c r="J692" s="180">
        <f>(J630/J612)*AA79</f>
        <v>0</v>
      </c>
      <c r="K692" s="180">
        <f>(K644/K612)*AA75</f>
        <v>60401.087578466249</v>
      </c>
      <c r="L692" s="180">
        <f>(L647/L612)*AA80</f>
        <v>6800.7929502505795</v>
      </c>
      <c r="M692" s="180">
        <f t="shared" si="20"/>
        <v>187656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3299309</v>
      </c>
      <c r="D693" s="180">
        <f>(D615/D612)*AB76</f>
        <v>160565.01271661886</v>
      </c>
      <c r="E693" s="180">
        <f>(E623/E612)*SUM(C693:D693)</f>
        <v>311424.81435720256</v>
      </c>
      <c r="F693" s="180">
        <f>(F624/F612)*AB64</f>
        <v>2138116.2236393387</v>
      </c>
      <c r="G693" s="180">
        <f>(G625/G612)*AB77</f>
        <v>0</v>
      </c>
      <c r="H693" s="180">
        <f>(H628/H612)*AB60</f>
        <v>31493.231879887979</v>
      </c>
      <c r="I693" s="180">
        <f>(I629/I612)*AB78</f>
        <v>19049.222742023627</v>
      </c>
      <c r="J693" s="180">
        <f>(J630/J612)*AB79</f>
        <v>0</v>
      </c>
      <c r="K693" s="180">
        <f>(K644/K612)*AB75</f>
        <v>396892.23346417275</v>
      </c>
      <c r="L693" s="180">
        <f>(L647/L612)*AB80</f>
        <v>68526.085155858222</v>
      </c>
      <c r="M693" s="180">
        <f t="shared" si="20"/>
        <v>3126067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1567309</v>
      </c>
      <c r="D694" s="180">
        <f>(D615/D612)*AC76</f>
        <v>540534.8401072186</v>
      </c>
      <c r="E694" s="180">
        <f>(E623/E612)*SUM(C694:D694)</f>
        <v>189727.9710725492</v>
      </c>
      <c r="F694" s="180">
        <f>(F624/F612)*AC64</f>
        <v>118205.63871858653</v>
      </c>
      <c r="G694" s="180">
        <f>(G625/G612)*AC77</f>
        <v>0</v>
      </c>
      <c r="H694" s="180">
        <f>(H628/H612)*AC60</f>
        <v>28256.353792822829</v>
      </c>
      <c r="I694" s="180">
        <f>(I629/I612)*AC78</f>
        <v>64031.499497331752</v>
      </c>
      <c r="J694" s="180">
        <f>(J630/J612)*AC79</f>
        <v>0</v>
      </c>
      <c r="K694" s="180">
        <f>(K644/K612)*AC75</f>
        <v>213074.61233123668</v>
      </c>
      <c r="L694" s="180">
        <f>(L647/L612)*AC80</f>
        <v>60753.750355571843</v>
      </c>
      <c r="M694" s="180">
        <f t="shared" si="20"/>
        <v>1214585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1035869</v>
      </c>
      <c r="D696" s="180">
        <f>(D615/D612)*AE76</f>
        <v>537726.86691185634</v>
      </c>
      <c r="E696" s="180">
        <f>(E623/E612)*SUM(C696:D696)</f>
        <v>141640.07097515787</v>
      </c>
      <c r="F696" s="180">
        <f>(F624/F612)*AE64</f>
        <v>9900.0278922696962</v>
      </c>
      <c r="G696" s="180">
        <f>(G625/G612)*AE77</f>
        <v>0</v>
      </c>
      <c r="H696" s="180">
        <f>(H628/H612)*AE60</f>
        <v>20349.881088352216</v>
      </c>
      <c r="I696" s="180">
        <f>(I629/I612)*AE78</f>
        <v>63734.782632191193</v>
      </c>
      <c r="J696" s="180">
        <f>(J630/J612)*AE79</f>
        <v>0</v>
      </c>
      <c r="K696" s="180">
        <f>(K644/K612)*AE75</f>
        <v>77665.047863006577</v>
      </c>
      <c r="L696" s="180">
        <f>(L647/L612)*AE80</f>
        <v>40351.371504820105</v>
      </c>
      <c r="M696" s="180">
        <f t="shared" si="20"/>
        <v>891368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3783637</v>
      </c>
      <c r="D698" s="180">
        <f>(D615/D612)*AG76</f>
        <v>542194.09699538711</v>
      </c>
      <c r="E698" s="180">
        <f>(E623/E612)*SUM(C698:D698)</f>
        <v>389370.00057543494</v>
      </c>
      <c r="F698" s="180">
        <f>(F624/F612)*AG64</f>
        <v>360006.91457065439</v>
      </c>
      <c r="G698" s="180">
        <f>(G625/G612)*AG77</f>
        <v>0</v>
      </c>
      <c r="H698" s="180">
        <f>(H628/H612)*AG60</f>
        <v>58820.973106749501</v>
      </c>
      <c r="I698" s="180">
        <f>(I629/I612)*AG78</f>
        <v>64268.872989444193</v>
      </c>
      <c r="J698" s="180">
        <f>(J630/J612)*AG79</f>
        <v>0</v>
      </c>
      <c r="K698" s="180">
        <f>(K644/K612)*AG75</f>
        <v>1002406.4540272618</v>
      </c>
      <c r="L698" s="180">
        <f>(L647/L612)*AG80</f>
        <v>125458.43756795593</v>
      </c>
      <c r="M698" s="180">
        <f t="shared" si="20"/>
        <v>2542526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2360083</v>
      </c>
      <c r="D700" s="180">
        <f>(D615/D612)*AI76</f>
        <v>635495.38816855755</v>
      </c>
      <c r="E700" s="180">
        <f>(E623/E612)*SUM(C700:D700)</f>
        <v>269633.35659015807</v>
      </c>
      <c r="F700" s="180">
        <f>(F624/F612)*AI64</f>
        <v>409028.58035585569</v>
      </c>
      <c r="G700" s="180">
        <f>(G625/G612)*AI77</f>
        <v>0</v>
      </c>
      <c r="H700" s="180">
        <f>(H628/H612)*AI60</f>
        <v>42716.178034220429</v>
      </c>
      <c r="I700" s="180">
        <f>(I629/I612)*AI78</f>
        <v>75306.740372672837</v>
      </c>
      <c r="J700" s="180">
        <f>(J630/J612)*AI79</f>
        <v>0</v>
      </c>
      <c r="K700" s="180">
        <f>(K644/K612)*AI75</f>
        <v>161004.08573104782</v>
      </c>
      <c r="L700" s="180">
        <f>(L647/L612)*AI80</f>
        <v>88410.308353257526</v>
      </c>
      <c r="M700" s="180">
        <f t="shared" si="20"/>
        <v>1681595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77433</v>
      </c>
      <c r="D702" s="180">
        <f>(D615/D612)*AK76</f>
        <v>0</v>
      </c>
      <c r="E702" s="180">
        <f>(E623/E612)*SUM(C702:D702)</f>
        <v>6969.7791195544232</v>
      </c>
      <c r="F702" s="180">
        <f>(F624/F612)*AK64</f>
        <v>3740.2453296301737</v>
      </c>
      <c r="G702" s="180">
        <f>(G625/G612)*AK77</f>
        <v>0</v>
      </c>
      <c r="H702" s="180">
        <f>(H628/H612)*AK60</f>
        <v>1432.7165303403126</v>
      </c>
      <c r="I702" s="180">
        <f>(I629/I612)*AK78</f>
        <v>0</v>
      </c>
      <c r="J702" s="180">
        <f>(J630/J612)*AK79</f>
        <v>0</v>
      </c>
      <c r="K702" s="180">
        <f>(K644/K612)*AK75</f>
        <v>12468.95365970091</v>
      </c>
      <c r="L702" s="180">
        <f>(L647/L612)*AK80</f>
        <v>3497.5506601288694</v>
      </c>
      <c r="M702" s="180">
        <f t="shared" si="20"/>
        <v>28109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56145</v>
      </c>
      <c r="D703" s="180">
        <f>(D615/D612)*AL76</f>
        <v>0</v>
      </c>
      <c r="E703" s="180">
        <f>(E623/E612)*SUM(C703:D703)</f>
        <v>5053.6366751563692</v>
      </c>
      <c r="F703" s="180">
        <f>(F624/F612)*AL64</f>
        <v>0</v>
      </c>
      <c r="G703" s="180">
        <f>(G625/G612)*AL77</f>
        <v>0</v>
      </c>
      <c r="H703" s="180">
        <f>(H628/H612)*AL60</f>
        <v>1167.3986543513656</v>
      </c>
      <c r="I703" s="180">
        <f>(I629/I612)*AL78</f>
        <v>0</v>
      </c>
      <c r="J703" s="180">
        <f>(J630/J612)*AL79</f>
        <v>0</v>
      </c>
      <c r="K703" s="180">
        <f>(K644/K612)*AL75</f>
        <v>8049.7137657359654</v>
      </c>
      <c r="L703" s="180">
        <f>(L647/L612)*AL80</f>
        <v>0</v>
      </c>
      <c r="M703" s="180">
        <f t="shared" si="20"/>
        <v>14271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4745080</v>
      </c>
      <c r="D713" s="180">
        <f>(D615/D612)*AV76</f>
        <v>0</v>
      </c>
      <c r="E713" s="180">
        <f>(E623/E612)*SUM(C713:D713)</f>
        <v>427106.78269749723</v>
      </c>
      <c r="F713" s="180">
        <f>(F624/F612)*AV64</f>
        <v>407434.67435581959</v>
      </c>
      <c r="G713" s="180">
        <f>(G625/G612)*AV77</f>
        <v>0</v>
      </c>
      <c r="H713" s="180">
        <f>(H628/H612)*AV60</f>
        <v>30989.127915508983</v>
      </c>
      <c r="I713" s="180">
        <f>(I629/I612)*AV78</f>
        <v>680075.05490215181</v>
      </c>
      <c r="J713" s="180">
        <f>(J630/J612)*AV79</f>
        <v>0</v>
      </c>
      <c r="K713" s="180">
        <f>(K644/K612)*AV75</f>
        <v>233794.59633924035</v>
      </c>
      <c r="L713" s="180">
        <f>(L647/L612)*AV80</f>
        <v>807739.89411976153</v>
      </c>
      <c r="M713" s="180">
        <f t="shared" si="20"/>
        <v>2587140</v>
      </c>
      <c r="N713" s="199" t="s">
        <v>741</v>
      </c>
    </row>
    <row r="715" spans="1:83" ht="12.65" customHeight="1" x14ac:dyDescent="0.35">
      <c r="C715" s="180">
        <f>SUM(C614:C647)+SUM(C668:C713)</f>
        <v>105953073</v>
      </c>
      <c r="D715" s="180">
        <f>SUM(D616:D647)+SUM(D668:D713)</f>
        <v>16380184.000000004</v>
      </c>
      <c r="E715" s="180">
        <f>SUM(E624:E647)+SUM(E668:E713)</f>
        <v>8749350.715122804</v>
      </c>
      <c r="F715" s="180">
        <f>SUM(F625:F648)+SUM(F668:F713)</f>
        <v>10193111.886168381</v>
      </c>
      <c r="G715" s="180">
        <f>SUM(G626:G647)+SUM(G668:G713)</f>
        <v>3542271.3040860873</v>
      </c>
      <c r="H715" s="180">
        <f>SUM(H629:H647)+SUM(H668:H713)</f>
        <v>979420.93921319675</v>
      </c>
      <c r="I715" s="180">
        <f>SUM(I630:I647)+SUM(I668:I713)</f>
        <v>2350234.9454053077</v>
      </c>
      <c r="J715" s="180">
        <f>SUM(J631:J647)+SUM(J668:J713)</f>
        <v>0</v>
      </c>
      <c r="K715" s="180">
        <f>SUM(K668:K713)</f>
        <v>11139105.516960572</v>
      </c>
      <c r="L715" s="180">
        <f>SUM(L668:L713)</f>
        <v>2321985.0215855548</v>
      </c>
      <c r="M715" s="180">
        <f>SUM(M668:M713)</f>
        <v>48171391</v>
      </c>
      <c r="N715" s="198" t="s">
        <v>742</v>
      </c>
    </row>
    <row r="716" spans="1:83" ht="12.65" customHeight="1" x14ac:dyDescent="0.35">
      <c r="C716" s="180">
        <f>CE71</f>
        <v>105953073</v>
      </c>
      <c r="D716" s="180">
        <f>D615</f>
        <v>16380184</v>
      </c>
      <c r="E716" s="180">
        <f>E623</f>
        <v>8749350.7151228022</v>
      </c>
      <c r="F716" s="180">
        <f>F624</f>
        <v>10193111.886168381</v>
      </c>
      <c r="G716" s="180">
        <f>G625</f>
        <v>3542271.3040860868</v>
      </c>
      <c r="H716" s="180">
        <f>H628</f>
        <v>979420.93921319721</v>
      </c>
      <c r="I716" s="180">
        <f>I629</f>
        <v>2350234.9454053072</v>
      </c>
      <c r="J716" s="180">
        <f>J630</f>
        <v>0</v>
      </c>
      <c r="K716" s="180">
        <f>K644</f>
        <v>11139105.516960574</v>
      </c>
      <c r="L716" s="180">
        <f>L647</f>
        <v>2321985.0215855548</v>
      </c>
      <c r="M716" s="180">
        <f>C648</f>
        <v>48171387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197*2020*A</v>
      </c>
      <c r="B722" s="277">
        <f>ROUND(C165,0)</f>
        <v>2549495</v>
      </c>
      <c r="C722" s="277">
        <f>ROUND(C166,0)</f>
        <v>180400</v>
      </c>
      <c r="D722" s="277">
        <f>ROUND(C167,0)</f>
        <v>389751</v>
      </c>
      <c r="E722" s="277">
        <f>ROUND(C168,0)</f>
        <v>2996157</v>
      </c>
      <c r="F722" s="277">
        <f>ROUND(C169,0)</f>
        <v>-9648</v>
      </c>
      <c r="G722" s="277">
        <f>ROUND(C170,0)</f>
        <v>0</v>
      </c>
      <c r="H722" s="277">
        <f>ROUND(C171+C172,0)</f>
        <v>442605</v>
      </c>
      <c r="I722" s="277">
        <f>ROUND(C175,0)</f>
        <v>705922</v>
      </c>
      <c r="J722" s="277">
        <f>ROUND(C176,0)</f>
        <v>2481128</v>
      </c>
      <c r="K722" s="277">
        <f>ROUND(C179,0)</f>
        <v>587533</v>
      </c>
      <c r="L722" s="277">
        <f>ROUND(C180,0)</f>
        <v>92966</v>
      </c>
      <c r="M722" s="277">
        <f>ROUND(C183,0)</f>
        <v>0</v>
      </c>
      <c r="N722" s="277">
        <f>ROUND(C184,0)</f>
        <v>685198</v>
      </c>
      <c r="O722" s="277">
        <f>ROUND(C185,0)</f>
        <v>3841514</v>
      </c>
      <c r="P722" s="277">
        <f>ROUND(C188,0)</f>
        <v>0</v>
      </c>
      <c r="Q722" s="277">
        <f>ROUND(C189,0)</f>
        <v>9985577</v>
      </c>
      <c r="R722" s="277">
        <f>ROUND(B195,0)</f>
        <v>3160000</v>
      </c>
      <c r="S722" s="277">
        <f>ROUND(C195,0)</f>
        <v>0</v>
      </c>
      <c r="T722" s="277">
        <f>ROUND(D195,0)</f>
        <v>0</v>
      </c>
      <c r="U722" s="277">
        <f>ROUND(B196,0)</f>
        <v>710000</v>
      </c>
      <c r="V722" s="277">
        <f>ROUND(C196,0)</f>
        <v>0</v>
      </c>
      <c r="W722" s="277">
        <f>ROUND(D196,0)</f>
        <v>0</v>
      </c>
      <c r="X722" s="277">
        <f>ROUND(B197,0)</f>
        <v>38437221</v>
      </c>
      <c r="Y722" s="277">
        <f>ROUND(C197,0)</f>
        <v>0</v>
      </c>
      <c r="Z722" s="277">
        <f>ROUND(D197,0)</f>
        <v>0</v>
      </c>
      <c r="AA722" s="277">
        <f>ROUND(B198,0)</f>
        <v>0</v>
      </c>
      <c r="AB722" s="277">
        <f>ROUND(C198,0)</f>
        <v>0</v>
      </c>
      <c r="AC722" s="277">
        <f>ROUND(D198,0)</f>
        <v>0</v>
      </c>
      <c r="AD722" s="277">
        <f>ROUND(B199,0)</f>
        <v>21106338</v>
      </c>
      <c r="AE722" s="277">
        <f>ROUND(C199,0)</f>
        <v>198687</v>
      </c>
      <c r="AF722" s="277">
        <f>ROUND(D199,0)</f>
        <v>0</v>
      </c>
      <c r="AG722" s="277">
        <f>ROUND(B200,0)</f>
        <v>13488264</v>
      </c>
      <c r="AH722" s="277">
        <f>ROUND(C200,0)</f>
        <v>999268</v>
      </c>
      <c r="AI722" s="277">
        <f>ROUND(D200,0)</f>
        <v>0</v>
      </c>
      <c r="AJ722" s="277">
        <f>ROUND(B201,0)</f>
        <v>7501032</v>
      </c>
      <c r="AK722" s="277">
        <f>ROUND(C201,0)</f>
        <v>232683</v>
      </c>
      <c r="AL722" s="277">
        <f>ROUND(D201,0)</f>
        <v>0</v>
      </c>
      <c r="AM722" s="277">
        <f>ROUND(B202,0)</f>
        <v>4521546</v>
      </c>
      <c r="AN722" s="277">
        <f>ROUND(C202,0)</f>
        <v>0</v>
      </c>
      <c r="AO722" s="277">
        <f>ROUND(D202,0)</f>
        <v>0</v>
      </c>
      <c r="AP722" s="277">
        <f>ROUND(B203,0)</f>
        <v>716299</v>
      </c>
      <c r="AQ722" s="277">
        <f>ROUND(C203,0)</f>
        <v>-224321</v>
      </c>
      <c r="AR722" s="277">
        <f>ROUND(D203,0)</f>
        <v>0</v>
      </c>
      <c r="AS722" s="277"/>
      <c r="AT722" s="277"/>
      <c r="AU722" s="277"/>
      <c r="AV722" s="277">
        <f>ROUND(B209,0)</f>
        <v>325416</v>
      </c>
      <c r="AW722" s="277">
        <f>ROUND(C209,0)</f>
        <v>88750</v>
      </c>
      <c r="AX722" s="277">
        <f>ROUND(D209,0)</f>
        <v>0</v>
      </c>
      <c r="AY722" s="277">
        <f>ROUND(B210,0)</f>
        <v>5982709</v>
      </c>
      <c r="AZ722" s="277">
        <f>ROUND(C210,0)</f>
        <v>1736481</v>
      </c>
      <c r="BA722" s="277">
        <f>ROUND(D210,0)</f>
        <v>0</v>
      </c>
      <c r="BB722" s="277">
        <f>ROUND(B211,0)</f>
        <v>0</v>
      </c>
      <c r="BC722" s="277">
        <f>ROUND(C211,0)</f>
        <v>0</v>
      </c>
      <c r="BD722" s="277">
        <f>ROUND(D211,0)</f>
        <v>0</v>
      </c>
      <c r="BE722" s="277">
        <f>ROUND(B212,0)</f>
        <v>2492505</v>
      </c>
      <c r="BF722" s="277">
        <f>ROUND(C212,0)</f>
        <v>1047286</v>
      </c>
      <c r="BG722" s="277">
        <f>ROUND(D212,0)</f>
        <v>0</v>
      </c>
      <c r="BH722" s="277">
        <f>ROUND(B213,0)</f>
        <v>5953969</v>
      </c>
      <c r="BI722" s="277">
        <f>ROUND(C213,0)</f>
        <v>1809974</v>
      </c>
      <c r="BJ722" s="277">
        <f>ROUND(D213,0)</f>
        <v>0</v>
      </c>
      <c r="BK722" s="277">
        <f>ROUND(B214,0)</f>
        <v>2240201</v>
      </c>
      <c r="BL722" s="277">
        <f>ROUND(C214,0)</f>
        <v>890133</v>
      </c>
      <c r="BM722" s="277">
        <f>ROUND(D214,0)</f>
        <v>0</v>
      </c>
      <c r="BN722" s="277">
        <f>ROUND(B215,0)</f>
        <v>1238528</v>
      </c>
      <c r="BO722" s="277">
        <f>ROUND(C215,0)</f>
        <v>314554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156904983</v>
      </c>
      <c r="BU722" s="277">
        <f>ROUND(C224,0)</f>
        <v>3855869</v>
      </c>
      <c r="BV722" s="277">
        <f>ROUND(C225,0)</f>
        <v>4771352</v>
      </c>
      <c r="BW722" s="277">
        <f>ROUND(C226,0)</f>
        <v>14519254</v>
      </c>
      <c r="BX722" s="277">
        <f>ROUND(C227,0)</f>
        <v>0</v>
      </c>
      <c r="BY722" s="277">
        <f>ROUND(C228,0)</f>
        <v>248858146</v>
      </c>
      <c r="BZ722" s="277">
        <f>ROUND(C231,0)</f>
        <v>0</v>
      </c>
      <c r="CA722" s="277">
        <f>ROUND(C233,0)</f>
        <v>1516817</v>
      </c>
      <c r="CB722" s="277">
        <f>ROUND(C234,0)</f>
        <v>2428432</v>
      </c>
      <c r="CC722" s="277">
        <f>ROUND(C238+C239,0)</f>
        <v>0</v>
      </c>
      <c r="CD722" s="277">
        <f>D221</f>
        <v>3177120</v>
      </c>
      <c r="CE722" s="277"/>
    </row>
    <row r="723" spans="1:84" ht="12.65" customHeight="1" x14ac:dyDescent="0.35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5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197*2020*A</v>
      </c>
      <c r="B726" s="277">
        <f>ROUND(C111,0)</f>
        <v>3464</v>
      </c>
      <c r="C726" s="277">
        <f>ROUND(C112,0)</f>
        <v>0</v>
      </c>
      <c r="D726" s="277">
        <f>ROUND(C113,0)</f>
        <v>0</v>
      </c>
      <c r="E726" s="277">
        <f>ROUND(C114,0)</f>
        <v>647</v>
      </c>
      <c r="F726" s="277">
        <f>ROUND(D111,0)</f>
        <v>12201</v>
      </c>
      <c r="G726" s="277">
        <f>ROUND(D112,0)</f>
        <v>0</v>
      </c>
      <c r="H726" s="277">
        <f>ROUND(D113,0)</f>
        <v>0</v>
      </c>
      <c r="I726" s="277">
        <f>ROUND(D114,0)</f>
        <v>1010</v>
      </c>
      <c r="J726" s="277">
        <f>ROUND(C116,0)</f>
        <v>10</v>
      </c>
      <c r="K726" s="277">
        <f>ROUND(C117,0)</f>
        <v>22</v>
      </c>
      <c r="L726" s="277">
        <f>ROUND(C118,0)</f>
        <v>41</v>
      </c>
      <c r="M726" s="277">
        <f>ROUND(C119,0)</f>
        <v>0</v>
      </c>
      <c r="N726" s="277">
        <f>ROUND(C120,0)</f>
        <v>15</v>
      </c>
      <c r="O726" s="277">
        <f>ROUND(C121,0)</f>
        <v>0</v>
      </c>
      <c r="P726" s="277">
        <f>ROUND(C122,0)</f>
        <v>0</v>
      </c>
      <c r="Q726" s="277">
        <f>ROUND(C123,0)</f>
        <v>0</v>
      </c>
      <c r="R726" s="277">
        <f>ROUND(C124,0)</f>
        <v>0</v>
      </c>
      <c r="S726" s="277">
        <f>ROUND(C125,0)</f>
        <v>0</v>
      </c>
      <c r="T726" s="277"/>
      <c r="U726" s="277">
        <f>ROUND(C126,0)</f>
        <v>0</v>
      </c>
      <c r="V726" s="277">
        <f>ROUND(C128,0)</f>
        <v>107</v>
      </c>
      <c r="W726" s="277">
        <f>ROUND(C129,0)</f>
        <v>7</v>
      </c>
      <c r="X726" s="277">
        <f>ROUND(B138,0)</f>
        <v>1173</v>
      </c>
      <c r="Y726" s="277">
        <f>ROUND(B139,0)</f>
        <v>5003</v>
      </c>
      <c r="Z726" s="277">
        <f>ROUND(B140,0)</f>
        <v>20073</v>
      </c>
      <c r="AA726" s="277">
        <f>ROUND(B141,0)</f>
        <v>81850848</v>
      </c>
      <c r="AB726" s="277">
        <f>ROUND(B142,0)</f>
        <v>100321065</v>
      </c>
      <c r="AC726" s="277">
        <f>ROUND(C138,0)</f>
        <v>89</v>
      </c>
      <c r="AD726" s="277">
        <f>ROUND(C139,0)</f>
        <v>233</v>
      </c>
      <c r="AE726" s="277">
        <f>ROUND(C140,0)</f>
        <v>737</v>
      </c>
      <c r="AF726" s="277">
        <f>ROUND(C141,0)</f>
        <v>3666972</v>
      </c>
      <c r="AG726" s="277">
        <f>ROUND(C142,0)</f>
        <v>4065600</v>
      </c>
      <c r="AH726" s="277">
        <f>ROUND(D138,0)</f>
        <v>2202</v>
      </c>
      <c r="AI726" s="277">
        <f>ROUND(D139,0)</f>
        <v>6965</v>
      </c>
      <c r="AJ726" s="277">
        <f>ROUND(D140,0)</f>
        <v>41090</v>
      </c>
      <c r="AK726" s="277">
        <f>ROUND(D141,0)</f>
        <v>123884782</v>
      </c>
      <c r="AL726" s="277">
        <f>ROUND(D142,0)</f>
        <v>207397947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0</v>
      </c>
      <c r="AS726" s="277">
        <f>ROUND(C145,0)</f>
        <v>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5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5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197*2020*A</v>
      </c>
      <c r="B730" s="277">
        <f>ROUND(C250,0)</f>
        <v>-887603</v>
      </c>
      <c r="C730" s="277">
        <f>ROUND(C251,0)</f>
        <v>0</v>
      </c>
      <c r="D730" s="277">
        <f>ROUND(C252,0)</f>
        <v>17529900</v>
      </c>
      <c r="E730" s="277">
        <f>ROUND(C253,0)</f>
        <v>7172725</v>
      </c>
      <c r="F730" s="277">
        <f>ROUND(C254,0)</f>
        <v>0</v>
      </c>
      <c r="G730" s="277">
        <f>ROUND(C255,0)</f>
        <v>900763</v>
      </c>
      <c r="H730" s="277">
        <f>ROUND(C256,0)</f>
        <v>102062</v>
      </c>
      <c r="I730" s="277">
        <f>ROUND(C257,0)</f>
        <v>3763243</v>
      </c>
      <c r="J730" s="277">
        <f>ROUND(C258,0)</f>
        <v>941621</v>
      </c>
      <c r="K730" s="277">
        <f>ROUND(C259,0)</f>
        <v>0</v>
      </c>
      <c r="L730" s="277">
        <f>ROUND(C262,0)</f>
        <v>0</v>
      </c>
      <c r="M730" s="277">
        <f>ROUND(C263,0)</f>
        <v>0</v>
      </c>
      <c r="N730" s="277">
        <f>ROUND(C264,0)</f>
        <v>0</v>
      </c>
      <c r="O730" s="277">
        <f>ROUND(C267,0)</f>
        <v>3160000</v>
      </c>
      <c r="P730" s="277">
        <f>ROUND(C268,0)</f>
        <v>710000</v>
      </c>
      <c r="Q730" s="277">
        <f>ROUND(C269,0)</f>
        <v>44944891</v>
      </c>
      <c r="R730" s="277">
        <f>ROUND(C270,0)</f>
        <v>21305026</v>
      </c>
      <c r="S730" s="277">
        <f>ROUND(C271,0)</f>
        <v>0</v>
      </c>
      <c r="T730" s="277">
        <f>ROUND(C272,0)</f>
        <v>20235122</v>
      </c>
      <c r="U730" s="277">
        <f>ROUND(C273,0)</f>
        <v>0</v>
      </c>
      <c r="V730" s="277">
        <f>ROUND(C274,0)</f>
        <v>491978</v>
      </c>
      <c r="W730" s="277">
        <f>ROUND(C275,0)</f>
        <v>0</v>
      </c>
      <c r="X730" s="277">
        <f>ROUND(C276,0)</f>
        <v>24120505</v>
      </c>
      <c r="Y730" s="277">
        <f>ROUND(C279,0)</f>
        <v>0</v>
      </c>
      <c r="Z730" s="277">
        <f>ROUND(C280,0)</f>
        <v>0</v>
      </c>
      <c r="AA730" s="277">
        <f>ROUND(C281,0)</f>
        <v>448809</v>
      </c>
      <c r="AB730" s="277">
        <f>ROUND(C282,0)</f>
        <v>1871025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270898</v>
      </c>
      <c r="AG730" s="277">
        <f>ROUND(C304,0)</f>
        <v>0</v>
      </c>
      <c r="AH730" s="277">
        <f>ROUND(C305,0)</f>
        <v>4661498</v>
      </c>
      <c r="AI730" s="277">
        <f>ROUND(C306,0)</f>
        <v>3656642</v>
      </c>
      <c r="AJ730" s="277">
        <f>ROUND(C307,0)</f>
        <v>994289</v>
      </c>
      <c r="AK730" s="277">
        <f>ROUND(C308,0)</f>
        <v>0</v>
      </c>
      <c r="AL730" s="277">
        <f>ROUND(C309,0)</f>
        <v>0</v>
      </c>
      <c r="AM730" s="277">
        <f>ROUND(C310,0)</f>
        <v>0</v>
      </c>
      <c r="AN730" s="277">
        <f>ROUND(C311,0)</f>
        <v>0</v>
      </c>
      <c r="AO730" s="277">
        <f>ROUND(C312,0)</f>
        <v>19876907</v>
      </c>
      <c r="AP730" s="277">
        <f>ROUND(C313,0)</f>
        <v>0</v>
      </c>
      <c r="AQ730" s="277">
        <f>ROUND(C316,0)</f>
        <v>0</v>
      </c>
      <c r="AR730" s="277">
        <f>ROUND(C317,0)</f>
        <v>0</v>
      </c>
      <c r="AS730" s="277">
        <f>ROUND(C318,0)</f>
        <v>2118185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112469652</v>
      </c>
      <c r="AX730" s="277">
        <f>ROUND(C325,0)</f>
        <v>0</v>
      </c>
      <c r="AY730" s="277">
        <f>ROUND(C326,0)</f>
        <v>-52661580</v>
      </c>
      <c r="AZ730" s="277">
        <f>ROUND(C327,0)</f>
        <v>0</v>
      </c>
      <c r="BA730" s="277">
        <f>ROUND(C328,0)</f>
        <v>0</v>
      </c>
      <c r="BB730" s="277">
        <f>ROUND(C332,0)</f>
        <v>0</v>
      </c>
      <c r="BC730" s="277"/>
      <c r="BD730" s="277"/>
      <c r="BE730" s="277">
        <f>ROUND(C337,0)</f>
        <v>-6621087</v>
      </c>
      <c r="BF730" s="277">
        <f>ROUND(C336,0)</f>
        <v>0</v>
      </c>
      <c r="BG730" s="277"/>
      <c r="BH730" s="277"/>
      <c r="BI730" s="277">
        <f>ROUND(CE60,2)</f>
        <v>426.07</v>
      </c>
      <c r="BJ730" s="277">
        <f>ROUND(C359,0)</f>
        <v>209402602</v>
      </c>
      <c r="BK730" s="277">
        <f>ROUND(C360,0)</f>
        <v>311762778</v>
      </c>
      <c r="BL730" s="277">
        <f>ROUND(C364,0)</f>
        <v>426334652</v>
      </c>
      <c r="BM730" s="277">
        <f>ROUND(C365,0)</f>
        <v>6474623</v>
      </c>
      <c r="BN730" s="277">
        <f>ROUND(C366,0)</f>
        <v>45578</v>
      </c>
      <c r="BO730" s="277">
        <f>ROUND(C370,0)</f>
        <v>557924</v>
      </c>
      <c r="BP730" s="277">
        <f>ROUND(C371,0)</f>
        <v>0</v>
      </c>
      <c r="BQ730" s="277">
        <f>ROUND(C378,0)</f>
        <v>37106882</v>
      </c>
      <c r="BR730" s="277">
        <f>ROUND(C379,0)</f>
        <v>6548760</v>
      </c>
      <c r="BS730" s="277">
        <f>ROUND(C380,0)</f>
        <v>4805620</v>
      </c>
      <c r="BT730" s="277">
        <f>ROUND(C381,0)</f>
        <v>15014974</v>
      </c>
      <c r="BU730" s="277">
        <f>ROUND(C382,0)</f>
        <v>1157699</v>
      </c>
      <c r="BV730" s="277">
        <f>ROUND(C383,0)</f>
        <v>9602928</v>
      </c>
      <c r="BW730" s="277">
        <f>ROUND(C384,0)</f>
        <v>5898153</v>
      </c>
      <c r="BX730" s="277">
        <f>ROUND(C385,0)</f>
        <v>3187051</v>
      </c>
      <c r="BY730" s="277">
        <f>ROUND(C386,0)</f>
        <v>680499</v>
      </c>
      <c r="BZ730" s="277">
        <f>ROUND(C387,0)</f>
        <v>4526713</v>
      </c>
      <c r="CA730" s="277">
        <f>ROUND(C388,0)</f>
        <v>9985577</v>
      </c>
      <c r="CB730" s="277">
        <f>C363</f>
        <v>3177120</v>
      </c>
      <c r="CC730" s="277">
        <f>ROUND(C389,0)</f>
        <v>6282172</v>
      </c>
      <c r="CD730" s="277">
        <f>ROUND(C392,0)</f>
        <v>0</v>
      </c>
      <c r="CE730" s="277">
        <f>ROUND(C394,0)</f>
        <v>0</v>
      </c>
      <c r="CF730" s="201">
        <f>ROUND(C395,0)</f>
        <v>0</v>
      </c>
    </row>
    <row r="731" spans="1:84" ht="12.65" customHeight="1" x14ac:dyDescent="0.35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5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197*2020*6010*A</v>
      </c>
      <c r="B734" s="277">
        <f>ROUND(C59,0)</f>
        <v>38191</v>
      </c>
      <c r="C734" s="277">
        <f>ROUND(C60,2)</f>
        <v>59.94</v>
      </c>
      <c r="D734" s="277">
        <f>ROUND(C61,0)</f>
        <v>5264737</v>
      </c>
      <c r="E734" s="277">
        <f>ROUND(C62,0)</f>
        <v>951046</v>
      </c>
      <c r="F734" s="277">
        <f>ROUND(C63,0)</f>
        <v>535170</v>
      </c>
      <c r="G734" s="277">
        <f>ROUND(C64,0)</f>
        <v>340286</v>
      </c>
      <c r="H734" s="277">
        <f>ROUND(C65,0)</f>
        <v>0</v>
      </c>
      <c r="I734" s="277">
        <f>ROUND(C66,0)</f>
        <v>35642</v>
      </c>
      <c r="J734" s="277">
        <f>ROUND(C67,0)</f>
        <v>319328</v>
      </c>
      <c r="K734" s="277">
        <f>ROUND(C68,0)</f>
        <v>68158</v>
      </c>
      <c r="L734" s="277">
        <f>ROUND(C69,0)</f>
        <v>197561</v>
      </c>
      <c r="M734" s="277">
        <f>ROUND(C70,0)</f>
        <v>0</v>
      </c>
      <c r="N734" s="277">
        <f>ROUND(C75,0)</f>
        <v>34286389</v>
      </c>
      <c r="O734" s="277">
        <f>ROUND(C73,0)</f>
        <v>32700503</v>
      </c>
      <c r="P734" s="277">
        <f>IF(C76&gt;0,ROUND(C76,0),0)</f>
        <v>8412</v>
      </c>
      <c r="Q734" s="277">
        <f>IF(C77&gt;0,ROUND(C77,0),0)</f>
        <v>18360</v>
      </c>
      <c r="R734" s="277">
        <f>IF(C78&gt;0,ROUND(C78,0),0)</f>
        <v>2144</v>
      </c>
      <c r="S734" s="277">
        <f>IF(C79&gt;0,ROUND(C79,0),0)</f>
        <v>65369</v>
      </c>
      <c r="T734" s="277">
        <f>IF(C80&gt;0,ROUND(C80,2),0)</f>
        <v>47.9</v>
      </c>
      <c r="U734" s="277"/>
      <c r="V734" s="277"/>
      <c r="W734" s="277"/>
      <c r="X734" s="277"/>
      <c r="Y734" s="277">
        <f>IF(M668&lt;&gt;0,ROUND(M668,0),0)</f>
        <v>5342471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5">
      <c r="A735" s="209" t="str">
        <f>RIGHT($C$83,3)&amp;"*"&amp;RIGHT($C$82,4)&amp;"*"&amp;D$55&amp;"*"&amp;"A"</f>
        <v>197*2020*6030*A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>
        <f t="shared" ref="Y735:Y779" si="21">IF(M669&lt;&gt;0,ROUND(M669,0),0)</f>
        <v>0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5">
      <c r="A736" s="209" t="str">
        <f>RIGHT($C$83,3)&amp;"*"&amp;RIGHT($C$82,4)&amp;"*"&amp;E$55&amp;"*"&amp;"A"</f>
        <v>197*2020*6070*A</v>
      </c>
      <c r="B736" s="277">
        <f>ROUND(E59,0)</f>
        <v>5379</v>
      </c>
      <c r="C736" s="279">
        <f>ROUND(E60,2)</f>
        <v>33.56</v>
      </c>
      <c r="D736" s="277">
        <f>ROUND(E61,0)</f>
        <v>2878201</v>
      </c>
      <c r="E736" s="277">
        <f>ROUND(E62,0)</f>
        <v>520553</v>
      </c>
      <c r="F736" s="277">
        <f>ROUND(E63,0)</f>
        <v>0</v>
      </c>
      <c r="G736" s="277">
        <f>ROUND(E64,0)</f>
        <v>197712</v>
      </c>
      <c r="H736" s="277">
        <f>ROUND(E65,0)</f>
        <v>0</v>
      </c>
      <c r="I736" s="277">
        <f>ROUND(E66,0)</f>
        <v>6013</v>
      </c>
      <c r="J736" s="277">
        <f>ROUND(E67,0)</f>
        <v>453634</v>
      </c>
      <c r="K736" s="277">
        <f>ROUND(E68,0)</f>
        <v>55036</v>
      </c>
      <c r="L736" s="277">
        <f>ROUND(E69,0)</f>
        <v>54031</v>
      </c>
      <c r="M736" s="277">
        <f>ROUND(E70,0)</f>
        <v>0</v>
      </c>
      <c r="N736" s="277">
        <f>ROUND(E75,0)</f>
        <v>14305495</v>
      </c>
      <c r="O736" s="277">
        <f>ROUND(E73,0)</f>
        <v>12710831</v>
      </c>
      <c r="P736" s="277">
        <f>IF(E76&gt;0,ROUND(E76,0),0)</f>
        <v>11950</v>
      </c>
      <c r="Q736" s="277">
        <f>IF(E77&gt;0,ROUND(E77,0),0)</f>
        <v>14557</v>
      </c>
      <c r="R736" s="277">
        <f>IF(E78&gt;0,ROUND(E78,0),0)</f>
        <v>3046</v>
      </c>
      <c r="S736" s="277">
        <f>IF(E79&gt;0,ROUND(E79,0),0)</f>
        <v>120703</v>
      </c>
      <c r="T736" s="279">
        <f>IF(E80&gt;0,ROUND(E80,2),0)</f>
        <v>27.9</v>
      </c>
      <c r="U736" s="277"/>
      <c r="V736" s="278"/>
      <c r="W736" s="277"/>
      <c r="X736" s="277"/>
      <c r="Y736" s="277">
        <f t="shared" si="21"/>
        <v>4388536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5">
      <c r="A737" s="209" t="str">
        <f>RIGHT($C$83,3)&amp;"*"&amp;RIGHT($C$82,4)&amp;"*"&amp;F$55&amp;"*"&amp;"A"</f>
        <v>197*2020*6100*A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>
        <f t="shared" si="21"/>
        <v>0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5">
      <c r="A738" s="209" t="str">
        <f>RIGHT($C$83,3)&amp;"*"&amp;RIGHT($C$82,4)&amp;"*"&amp;G$55&amp;"*"&amp;"A"</f>
        <v>197*2020*6120*A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>
        <f t="shared" si="21"/>
        <v>0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5">
      <c r="A739" s="209" t="str">
        <f>RIGHT($C$83,3)&amp;"*"&amp;RIGHT($C$82,4)&amp;"*"&amp;H$55&amp;"*"&amp;"A"</f>
        <v>197*2020*6140*A</v>
      </c>
      <c r="B739" s="277">
        <f>ROUND(H59,0)</f>
        <v>0</v>
      </c>
      <c r="C739" s="279">
        <f>ROUND(H60,2)</f>
        <v>0</v>
      </c>
      <c r="D739" s="277">
        <f>ROUND(H61,0)</f>
        <v>0</v>
      </c>
      <c r="E739" s="277">
        <f>ROUND(H62,0)</f>
        <v>0</v>
      </c>
      <c r="F739" s="277">
        <f>ROUND(H63,0)</f>
        <v>0</v>
      </c>
      <c r="G739" s="277">
        <f>ROUND(H64,0)</f>
        <v>0</v>
      </c>
      <c r="H739" s="277">
        <f>ROUND(H65,0)</f>
        <v>0</v>
      </c>
      <c r="I739" s="277">
        <f>ROUND(H66,0)</f>
        <v>0</v>
      </c>
      <c r="J739" s="277">
        <f>ROUND(H67,0)</f>
        <v>0</v>
      </c>
      <c r="K739" s="277">
        <f>ROUND(H68,0)</f>
        <v>0</v>
      </c>
      <c r="L739" s="277">
        <f>ROUND(H69,0)</f>
        <v>0</v>
      </c>
      <c r="M739" s="277">
        <f>ROUND(H70,0)</f>
        <v>0</v>
      </c>
      <c r="N739" s="277">
        <f>ROUND(H75,0)</f>
        <v>0</v>
      </c>
      <c r="O739" s="277">
        <f>ROUND(H73,0)</f>
        <v>0</v>
      </c>
      <c r="P739" s="277">
        <f>IF(H76&gt;0,ROUND(H76,0),0)</f>
        <v>0</v>
      </c>
      <c r="Q739" s="277">
        <f>IF(H77&gt;0,ROUND(H77,0),0)</f>
        <v>0</v>
      </c>
      <c r="R739" s="277">
        <f>IF(H78&gt;0,ROUND(H78,0),0)</f>
        <v>0</v>
      </c>
      <c r="S739" s="277">
        <f>IF(H79&gt;0,ROUND(H79,0),0)</f>
        <v>0</v>
      </c>
      <c r="T739" s="279">
        <f>IF(H80&gt;0,ROUND(H80,2),0)</f>
        <v>0</v>
      </c>
      <c r="U739" s="277"/>
      <c r="V739" s="278"/>
      <c r="W739" s="277"/>
      <c r="X739" s="277"/>
      <c r="Y739" s="277">
        <f t="shared" si="21"/>
        <v>0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5">
      <c r="A740" s="209" t="str">
        <f>RIGHT($C$83,3)&amp;"*"&amp;RIGHT($C$82,4)&amp;"*"&amp;I$55&amp;"*"&amp;"A"</f>
        <v>197*2020*6150*A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>
        <f t="shared" si="21"/>
        <v>0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5">
      <c r="A741" s="209" t="str">
        <f>RIGHT($C$83,3)&amp;"*"&amp;RIGHT($C$82,4)&amp;"*"&amp;J$55&amp;"*"&amp;"A"</f>
        <v>197*2020*6170*A</v>
      </c>
      <c r="B741" s="277">
        <f>ROUND(J59,0)</f>
        <v>1066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503008</v>
      </c>
      <c r="G741" s="277">
        <f>ROUND(J64,0)</f>
        <v>16202</v>
      </c>
      <c r="H741" s="277">
        <f>ROUND(J65,0)</f>
        <v>0</v>
      </c>
      <c r="I741" s="277">
        <f>ROUND(J66,0)</f>
        <v>75817</v>
      </c>
      <c r="J741" s="277">
        <f>ROUND(J67,0)</f>
        <v>27066</v>
      </c>
      <c r="K741" s="277">
        <f>ROUND(J68,0)</f>
        <v>0</v>
      </c>
      <c r="L741" s="277">
        <f>ROUND(J69,0)</f>
        <v>1253</v>
      </c>
      <c r="M741" s="277">
        <f>ROUND(J70,0)</f>
        <v>0</v>
      </c>
      <c r="N741" s="277">
        <f>ROUND(J75,0)</f>
        <v>3637295</v>
      </c>
      <c r="O741" s="277">
        <f>ROUND(J73,0)</f>
        <v>3635216</v>
      </c>
      <c r="P741" s="277">
        <f>IF(J76&gt;0,ROUND(J76,0),0)</f>
        <v>713</v>
      </c>
      <c r="Q741" s="277">
        <f>IF(J77&gt;0,ROUND(J77,0),0)</f>
        <v>3041</v>
      </c>
      <c r="R741" s="277">
        <f>IF(J78&gt;0,ROUND(J78,0),0)</f>
        <v>182</v>
      </c>
      <c r="S741" s="277">
        <f>IF(J79&gt;0,ROUND(J79,0),0)</f>
        <v>431</v>
      </c>
      <c r="T741" s="279">
        <f>IF(J80&gt;0,ROUND(J80,2),0)</f>
        <v>0</v>
      </c>
      <c r="U741" s="277"/>
      <c r="V741" s="278"/>
      <c r="W741" s="277"/>
      <c r="X741" s="277"/>
      <c r="Y741" s="277">
        <f t="shared" si="21"/>
        <v>539112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5">
      <c r="A742" s="209" t="str">
        <f>RIGHT($C$83,3)&amp;"*"&amp;RIGHT($C$82,4)&amp;"*"&amp;K$55&amp;"*"&amp;"A"</f>
        <v>197*2020*6200*A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>
        <f t="shared" si="21"/>
        <v>0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5">
      <c r="A743" s="209" t="str">
        <f>RIGHT($C$83,3)&amp;"*"&amp;RIGHT($C$82,4)&amp;"*"&amp;L$55&amp;"*"&amp;"A"</f>
        <v>197*2020*6210*A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>
        <f t="shared" si="21"/>
        <v>0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5">
      <c r="A744" s="209" t="str">
        <f>RIGHT($C$83,3)&amp;"*"&amp;RIGHT($C$82,4)&amp;"*"&amp;M$55&amp;"*"&amp;"A"</f>
        <v>197*2020*6330*A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>
        <f t="shared" si="21"/>
        <v>0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5">
      <c r="A745" s="209" t="str">
        <f>RIGHT($C$83,3)&amp;"*"&amp;RIGHT($C$82,4)&amp;"*"&amp;N$55&amp;"*"&amp;"A"</f>
        <v>197*2020*6400*A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0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0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0</v>
      </c>
      <c r="T745" s="279">
        <f>IF(N80&gt;0,ROUND(N80,2),0)</f>
        <v>2.62</v>
      </c>
      <c r="U745" s="277"/>
      <c r="V745" s="278"/>
      <c r="W745" s="277"/>
      <c r="X745" s="277"/>
      <c r="Y745" s="277">
        <f t="shared" si="21"/>
        <v>16970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5">
      <c r="A746" s="209" t="str">
        <f>RIGHT($C$83,3)&amp;"*"&amp;RIGHT($C$82,4)&amp;"*"&amp;O$55&amp;"*"&amp;"A"</f>
        <v>197*2020*7010*A</v>
      </c>
      <c r="B746" s="277">
        <f>ROUND(O59,0)</f>
        <v>1298</v>
      </c>
      <c r="C746" s="279">
        <f>ROUND(O60,2)</f>
        <v>22.32</v>
      </c>
      <c r="D746" s="277">
        <f>ROUND(O61,0)</f>
        <v>2517206</v>
      </c>
      <c r="E746" s="277">
        <f>ROUND(O62,0)</f>
        <v>456426</v>
      </c>
      <c r="F746" s="277">
        <f>ROUND(O63,0)</f>
        <v>84200</v>
      </c>
      <c r="G746" s="277">
        <f>ROUND(O64,0)</f>
        <v>216663</v>
      </c>
      <c r="H746" s="277">
        <f>ROUND(O65,0)</f>
        <v>0</v>
      </c>
      <c r="I746" s="277">
        <f>ROUND(O66,0)</f>
        <v>1167</v>
      </c>
      <c r="J746" s="277">
        <f>ROUND(O67,0)</f>
        <v>856210</v>
      </c>
      <c r="K746" s="277">
        <f>ROUND(O68,0)</f>
        <v>133</v>
      </c>
      <c r="L746" s="277">
        <f>ROUND(O69,0)</f>
        <v>52491</v>
      </c>
      <c r="M746" s="277">
        <f>ROUND(O70,0)</f>
        <v>0</v>
      </c>
      <c r="N746" s="277">
        <f>ROUND(O75,0)</f>
        <v>21563525</v>
      </c>
      <c r="O746" s="277">
        <f>ROUND(O73,0)</f>
        <v>20369337</v>
      </c>
      <c r="P746" s="277">
        <f>IF(O76&gt;0,ROUND(O76,0),0)</f>
        <v>22555</v>
      </c>
      <c r="Q746" s="277">
        <f>IF(O77&gt;0,ROUND(O77,0),0)</f>
        <v>3818</v>
      </c>
      <c r="R746" s="277">
        <f>IF(O78&gt;0,ROUND(O78,0),0)</f>
        <v>5749</v>
      </c>
      <c r="S746" s="277">
        <f>IF(O79&gt;0,ROUND(O79,0),0)</f>
        <v>53326</v>
      </c>
      <c r="T746" s="279">
        <f>IF(O80&gt;0,ROUND(O80,2),0)</f>
        <v>19.46</v>
      </c>
      <c r="U746" s="277"/>
      <c r="V746" s="278"/>
      <c r="W746" s="277"/>
      <c r="X746" s="277"/>
      <c r="Y746" s="277">
        <f t="shared" si="21"/>
        <v>5168911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5">
      <c r="A747" s="209" t="str">
        <f>RIGHT($C$83,3)&amp;"*"&amp;RIGHT($C$82,4)&amp;"*"&amp;P$55&amp;"*"&amp;"A"</f>
        <v>197*2020*7020*A</v>
      </c>
      <c r="B747" s="277">
        <f>ROUND(P59,0)</f>
        <v>252863</v>
      </c>
      <c r="C747" s="279">
        <f>ROUND(P60,2)</f>
        <v>18.3</v>
      </c>
      <c r="D747" s="277">
        <f>ROUND(P61,0)</f>
        <v>1300874</v>
      </c>
      <c r="E747" s="277">
        <f>ROUND(P62,0)</f>
        <v>235283</v>
      </c>
      <c r="F747" s="277">
        <f>ROUND(P63,0)</f>
        <v>201754</v>
      </c>
      <c r="G747" s="277">
        <f>ROUND(P64,0)</f>
        <v>1222557</v>
      </c>
      <c r="H747" s="277">
        <f>ROUND(P65,0)</f>
        <v>0</v>
      </c>
      <c r="I747" s="277">
        <f>ROUND(P66,0)</f>
        <v>307696</v>
      </c>
      <c r="J747" s="277">
        <f>ROUND(P67,0)</f>
        <v>85754</v>
      </c>
      <c r="K747" s="277">
        <f>ROUND(P68,0)</f>
        <v>330384</v>
      </c>
      <c r="L747" s="277">
        <f>ROUND(P69,0)</f>
        <v>1004035</v>
      </c>
      <c r="M747" s="277">
        <f>ROUND(P70,0)</f>
        <v>0</v>
      </c>
      <c r="N747" s="277">
        <f>ROUND(P75,0)</f>
        <v>109074849</v>
      </c>
      <c r="O747" s="277">
        <f>ROUND(P73,0)</f>
        <v>51681044</v>
      </c>
      <c r="P747" s="277">
        <f>IF(P76&gt;0,ROUND(P76,0),0)</f>
        <v>2259</v>
      </c>
      <c r="Q747" s="277">
        <f>IF(P77&gt;0,ROUND(P77,0),0)</f>
        <v>0</v>
      </c>
      <c r="R747" s="277">
        <f>IF(P78&gt;0,ROUND(P78,0),0)</f>
        <v>576</v>
      </c>
      <c r="S747" s="277">
        <f>IF(P79&gt;0,ROUND(P79,0),0)</f>
        <v>76291</v>
      </c>
      <c r="T747" s="279">
        <f>IF(P80&gt;0,ROUND(P80,2),0)</f>
        <v>12.11</v>
      </c>
      <c r="U747" s="277"/>
      <c r="V747" s="278"/>
      <c r="W747" s="277"/>
      <c r="X747" s="277"/>
      <c r="Y747" s="277">
        <f t="shared" si="21"/>
        <v>5074061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5">
      <c r="A748" s="209" t="str">
        <f>RIGHT($C$83,3)&amp;"*"&amp;RIGHT($C$82,4)&amp;"*"&amp;Q$55&amp;"*"&amp;"A"</f>
        <v>197*2020*7030*A</v>
      </c>
      <c r="B748" s="277">
        <f>ROUND(Q59,0)</f>
        <v>207782</v>
      </c>
      <c r="C748" s="279">
        <f>ROUND(Q60,2)</f>
        <v>5.27</v>
      </c>
      <c r="D748" s="277">
        <f>ROUND(Q61,0)</f>
        <v>740633</v>
      </c>
      <c r="E748" s="277">
        <f>ROUND(Q62,0)</f>
        <v>134671</v>
      </c>
      <c r="F748" s="277">
        <f>ROUND(Q63,0)</f>
        <v>0</v>
      </c>
      <c r="G748" s="277">
        <f>ROUND(Q64,0)</f>
        <v>19621</v>
      </c>
      <c r="H748" s="277">
        <f>ROUND(Q65,0)</f>
        <v>0</v>
      </c>
      <c r="I748" s="277">
        <f>ROUND(Q66,0)</f>
        <v>2</v>
      </c>
      <c r="J748" s="277">
        <f>ROUND(Q67,0)</f>
        <v>109024</v>
      </c>
      <c r="K748" s="277">
        <f>ROUND(Q68,0)</f>
        <v>0</v>
      </c>
      <c r="L748" s="277">
        <f>ROUND(Q69,0)</f>
        <v>24256</v>
      </c>
      <c r="M748" s="277">
        <f>ROUND(Q70,0)</f>
        <v>0</v>
      </c>
      <c r="N748" s="277">
        <f>ROUND(Q75,0)</f>
        <v>16806893</v>
      </c>
      <c r="O748" s="277">
        <f>ROUND(Q73,0)</f>
        <v>5548716</v>
      </c>
      <c r="P748" s="277">
        <f>IF(Q76&gt;0,ROUND(Q76,0),0)</f>
        <v>2872</v>
      </c>
      <c r="Q748" s="277">
        <f>IF(Q77&gt;0,ROUND(Q77,0),0)</f>
        <v>0</v>
      </c>
      <c r="R748" s="277">
        <f>IF(Q78&gt;0,ROUND(Q78,0),0)</f>
        <v>732</v>
      </c>
      <c r="S748" s="277">
        <f>IF(Q79&gt;0,ROUND(Q79,0),0)</f>
        <v>0</v>
      </c>
      <c r="T748" s="279">
        <f>IF(Q80&gt;0,ROUND(Q80,2),0)</f>
        <v>4.1100000000000003</v>
      </c>
      <c r="U748" s="277"/>
      <c r="V748" s="278"/>
      <c r="W748" s="277"/>
      <c r="X748" s="277"/>
      <c r="Y748" s="277">
        <f t="shared" si="21"/>
        <v>964991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5">
      <c r="A749" s="209" t="str">
        <f>RIGHT($C$83,3)&amp;"*"&amp;RIGHT($C$82,4)&amp;"*"&amp;R$55&amp;"*"&amp;"A"</f>
        <v>197*2020*7040*A</v>
      </c>
      <c r="B749" s="277">
        <f>ROUND(R59,0)</f>
        <v>306348</v>
      </c>
      <c r="C749" s="279">
        <f>ROUND(R60,2)</f>
        <v>1.61</v>
      </c>
      <c r="D749" s="277">
        <f>ROUND(R61,0)</f>
        <v>136839</v>
      </c>
      <c r="E749" s="277">
        <f>ROUND(R62,0)</f>
        <v>24138</v>
      </c>
      <c r="F749" s="277">
        <f>ROUND(R63,0)</f>
        <v>1249867</v>
      </c>
      <c r="G749" s="277">
        <f>ROUND(R64,0)</f>
        <v>63289</v>
      </c>
      <c r="H749" s="277">
        <f>ROUND(R65,0)</f>
        <v>0</v>
      </c>
      <c r="I749" s="277">
        <f>ROUND(R66,0)</f>
        <v>13</v>
      </c>
      <c r="J749" s="277">
        <f>ROUND(R67,0)</f>
        <v>13021</v>
      </c>
      <c r="K749" s="277">
        <f>ROUND(R68,0)</f>
        <v>123809</v>
      </c>
      <c r="L749" s="277">
        <f>ROUND(R69,0)</f>
        <v>17751</v>
      </c>
      <c r="M749" s="277">
        <f>ROUND(R70,0)</f>
        <v>0</v>
      </c>
      <c r="N749" s="277">
        <f>ROUND(R75,0)</f>
        <v>10899257</v>
      </c>
      <c r="O749" s="277">
        <f>ROUND(R73,0)</f>
        <v>3935103</v>
      </c>
      <c r="P749" s="277">
        <f>IF(R76&gt;0,ROUND(R76,0),0)</f>
        <v>343</v>
      </c>
      <c r="Q749" s="277">
        <f>IF(R77&gt;0,ROUND(R77,0),0)</f>
        <v>0</v>
      </c>
      <c r="R749" s="277">
        <f>IF(R78&gt;0,ROUND(R78,0),0)</f>
        <v>87</v>
      </c>
      <c r="S749" s="277">
        <f>IF(R79&gt;0,ROUND(R79,0),0)</f>
        <v>0</v>
      </c>
      <c r="T749" s="279">
        <f>IF(R80&gt;0,ROUND(R80,2),0)</f>
        <v>1.29</v>
      </c>
      <c r="U749" s="277"/>
      <c r="V749" s="278"/>
      <c r="W749" s="277"/>
      <c r="X749" s="277"/>
      <c r="Y749" s="277">
        <f t="shared" si="21"/>
        <v>540594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5">
      <c r="A750" s="209" t="str">
        <f>RIGHT($C$83,3)&amp;"*"&amp;RIGHT($C$82,4)&amp;"*"&amp;S$55&amp;"*"&amp;"A"</f>
        <v>197*2020*7050*A</v>
      </c>
      <c r="B750" s="277"/>
      <c r="C750" s="279">
        <f>ROUND(S60,2)</f>
        <v>12.09</v>
      </c>
      <c r="D750" s="277">
        <f>ROUND(S61,0)</f>
        <v>386098</v>
      </c>
      <c r="E750" s="277">
        <f>ROUND(S62,0)</f>
        <v>69773</v>
      </c>
      <c r="F750" s="277">
        <f>ROUND(S63,0)</f>
        <v>0</v>
      </c>
      <c r="G750" s="277">
        <f>ROUND(S64,0)</f>
        <v>335893</v>
      </c>
      <c r="H750" s="277">
        <f>ROUND(S65,0)</f>
        <v>26309</v>
      </c>
      <c r="I750" s="277">
        <f>ROUND(S66,0)</f>
        <v>533425</v>
      </c>
      <c r="J750" s="277">
        <f>ROUND(S67,0)</f>
        <v>109593</v>
      </c>
      <c r="K750" s="277">
        <f>ROUND(S68,0)</f>
        <v>813264</v>
      </c>
      <c r="L750" s="277">
        <f>ROUND(S69,0)</f>
        <v>1225641</v>
      </c>
      <c r="M750" s="277">
        <f>ROUND(S70,0)</f>
        <v>0</v>
      </c>
      <c r="N750" s="277">
        <f>ROUND(S75,0)</f>
        <v>0</v>
      </c>
      <c r="O750" s="277">
        <f>ROUND(S73,0)</f>
        <v>0</v>
      </c>
      <c r="P750" s="277">
        <f>IF(S76&gt;0,ROUND(S76,0),0)</f>
        <v>2887</v>
      </c>
      <c r="Q750" s="277">
        <f>IF(S77&gt;0,ROUND(S77,0),0)</f>
        <v>0</v>
      </c>
      <c r="R750" s="277">
        <f>IF(S78&gt;0,ROUND(S78,0),0)</f>
        <v>736</v>
      </c>
      <c r="S750" s="277">
        <f>IF(S79&gt;0,ROUND(S79,0),0)</f>
        <v>0</v>
      </c>
      <c r="T750" s="279">
        <f>IF(S80&gt;0,ROUND(S80,2),0)</f>
        <v>5.96</v>
      </c>
      <c r="U750" s="277"/>
      <c r="V750" s="278"/>
      <c r="W750" s="277"/>
      <c r="X750" s="277"/>
      <c r="Y750" s="277">
        <f t="shared" si="21"/>
        <v>1338033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5">
      <c r="A751" s="209" t="str">
        <f>RIGHT($C$83,3)&amp;"*"&amp;RIGHT($C$82,4)&amp;"*"&amp;T$55&amp;"*"&amp;"A"</f>
        <v>197*2020*7060*A</v>
      </c>
      <c r="B751" s="277"/>
      <c r="C751" s="279">
        <f>ROUND(T60,2)</f>
        <v>0</v>
      </c>
      <c r="D751" s="277">
        <f>ROUND(T61,0)</f>
        <v>0</v>
      </c>
      <c r="E751" s="277">
        <f>ROUND(T62,0)</f>
        <v>0</v>
      </c>
      <c r="F751" s="277">
        <f>ROUND(T63,0)</f>
        <v>0</v>
      </c>
      <c r="G751" s="277">
        <f>ROUND(T64,0)</f>
        <v>0</v>
      </c>
      <c r="H751" s="277">
        <f>ROUND(T65,0)</f>
        <v>0</v>
      </c>
      <c r="I751" s="277">
        <f>ROUND(T66,0)</f>
        <v>0</v>
      </c>
      <c r="J751" s="277">
        <f>ROUND(T67,0)</f>
        <v>0</v>
      </c>
      <c r="K751" s="277">
        <f>ROUND(T68,0)</f>
        <v>0</v>
      </c>
      <c r="L751" s="277">
        <f>ROUND(T69,0)</f>
        <v>0</v>
      </c>
      <c r="M751" s="277">
        <f>ROUND(T70,0)</f>
        <v>0</v>
      </c>
      <c r="N751" s="277">
        <f>ROUND(T75,0)</f>
        <v>0</v>
      </c>
      <c r="O751" s="277">
        <f>ROUND(T73,0)</f>
        <v>0</v>
      </c>
      <c r="P751" s="277">
        <f>IF(T76&gt;0,ROUND(T76,0),0)</f>
        <v>0</v>
      </c>
      <c r="Q751" s="277">
        <f>IF(T77&gt;0,ROUND(T77,0),0)</f>
        <v>0</v>
      </c>
      <c r="R751" s="277">
        <f>IF(T78&gt;0,ROUND(T78,0),0)</f>
        <v>0</v>
      </c>
      <c r="S751" s="277">
        <f>IF(T79&gt;0,ROUND(T79,0),0)</f>
        <v>0</v>
      </c>
      <c r="T751" s="279">
        <f>IF(T80&gt;0,ROUND(T80,2),0)</f>
        <v>0</v>
      </c>
      <c r="U751" s="277"/>
      <c r="V751" s="278"/>
      <c r="W751" s="277"/>
      <c r="X751" s="277"/>
      <c r="Y751" s="277">
        <f t="shared" si="21"/>
        <v>0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5">
      <c r="A752" s="209" t="str">
        <f>RIGHT($C$83,3)&amp;"*"&amp;RIGHT($C$82,4)&amp;"*"&amp;U$55&amp;"*"&amp;"A"</f>
        <v>197*2020*7070*A</v>
      </c>
      <c r="B752" s="277">
        <f>ROUND(U59,0)</f>
        <v>209106</v>
      </c>
      <c r="C752" s="279">
        <f>ROUND(U60,2)</f>
        <v>19.37</v>
      </c>
      <c r="D752" s="277">
        <f>ROUND(U61,0)</f>
        <v>1489093</v>
      </c>
      <c r="E752" s="277">
        <f>ROUND(U62,0)</f>
        <v>269338</v>
      </c>
      <c r="F752" s="277">
        <f>ROUND(U63,0)</f>
        <v>19107</v>
      </c>
      <c r="G752" s="277">
        <f>ROUND(U64,0)</f>
        <v>1120469</v>
      </c>
      <c r="H752" s="277">
        <f>ROUND(U65,0)</f>
        <v>0</v>
      </c>
      <c r="I752" s="277">
        <f>ROUND(U66,0)</f>
        <v>501063</v>
      </c>
      <c r="J752" s="277">
        <f>ROUND(U67,0)</f>
        <v>104165</v>
      </c>
      <c r="K752" s="277">
        <f>ROUND(U68,0)</f>
        <v>167418</v>
      </c>
      <c r="L752" s="277">
        <f>ROUND(U69,0)</f>
        <v>143886</v>
      </c>
      <c r="M752" s="277">
        <f>ROUND(U70,0)</f>
        <v>0</v>
      </c>
      <c r="N752" s="277">
        <f>ROUND(U75,0)</f>
        <v>41898210</v>
      </c>
      <c r="O752" s="277">
        <f>ROUND(U73,0)</f>
        <v>21110852</v>
      </c>
      <c r="P752" s="277">
        <f>IF(U76&gt;0,ROUND(U76,0),0)</f>
        <v>2744</v>
      </c>
      <c r="Q752" s="277">
        <f>IF(U77&gt;0,ROUND(U77,0),0)</f>
        <v>0</v>
      </c>
      <c r="R752" s="277">
        <f>IF(U78&gt;0,ROUND(U78,0),0)</f>
        <v>699</v>
      </c>
      <c r="S752" s="277">
        <f>IF(U79&gt;0,ROUND(U79,0),0)</f>
        <v>2404</v>
      </c>
      <c r="T752" s="279">
        <f>IF(U80&gt;0,ROUND(U80,2),0)</f>
        <v>17.350000000000001</v>
      </c>
      <c r="U752" s="277"/>
      <c r="V752" s="278"/>
      <c r="W752" s="277"/>
      <c r="X752" s="277"/>
      <c r="Y752" s="277">
        <f t="shared" si="21"/>
        <v>3517076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5">
      <c r="A753" s="209" t="str">
        <f>RIGHT($C$83,3)&amp;"*"&amp;RIGHT($C$82,4)&amp;"*"&amp;V$55&amp;"*"&amp;"A"</f>
        <v>197*2020*7110*A</v>
      </c>
      <c r="B753" s="277">
        <f>ROUND(V59,0)</f>
        <v>0</v>
      </c>
      <c r="C753" s="279">
        <f>ROUND(V60,2)</f>
        <v>0</v>
      </c>
      <c r="D753" s="277">
        <f>ROUND(V61,0)</f>
        <v>0</v>
      </c>
      <c r="E753" s="277">
        <f>ROUND(V62,0)</f>
        <v>0</v>
      </c>
      <c r="F753" s="277">
        <f>ROUND(V63,0)</f>
        <v>0</v>
      </c>
      <c r="G753" s="277">
        <f>ROUND(V64,0)</f>
        <v>0</v>
      </c>
      <c r="H753" s="277">
        <f>ROUND(V65,0)</f>
        <v>0</v>
      </c>
      <c r="I753" s="277">
        <f>ROUND(V66,0)</f>
        <v>0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0</v>
      </c>
      <c r="O753" s="277">
        <f>ROUND(V73,0)</f>
        <v>0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>
        <f t="shared" si="21"/>
        <v>0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5">
      <c r="A754" s="209" t="str">
        <f>RIGHT($C$83,3)&amp;"*"&amp;RIGHT($C$82,4)&amp;"*"&amp;W$55&amp;"*"&amp;"A"</f>
        <v>197*2020*7120*A</v>
      </c>
      <c r="B754" s="277">
        <f>ROUND(W59,0)</f>
        <v>812</v>
      </c>
      <c r="C754" s="279">
        <f>ROUND(W60,2)</f>
        <v>1.22</v>
      </c>
      <c r="D754" s="277">
        <f>ROUND(W61,0)</f>
        <v>152918</v>
      </c>
      <c r="E754" s="277">
        <f>ROUND(W62,0)</f>
        <v>27279</v>
      </c>
      <c r="F754" s="277">
        <f>ROUND(W63,0)</f>
        <v>0</v>
      </c>
      <c r="G754" s="277">
        <f>ROUND(W64,0)</f>
        <v>4408</v>
      </c>
      <c r="H754" s="277">
        <f>ROUND(W65,0)</f>
        <v>0</v>
      </c>
      <c r="I754" s="277">
        <f>ROUND(W66,0)</f>
        <v>0</v>
      </c>
      <c r="J754" s="277">
        <f>ROUND(W67,0)</f>
        <v>33482</v>
      </c>
      <c r="K754" s="277">
        <f>ROUND(W68,0)</f>
        <v>0</v>
      </c>
      <c r="L754" s="277">
        <f>ROUND(W69,0)</f>
        <v>95098</v>
      </c>
      <c r="M754" s="277">
        <f>ROUND(W70,0)</f>
        <v>0</v>
      </c>
      <c r="N754" s="277">
        <f>ROUND(W75,0)</f>
        <v>5425306</v>
      </c>
      <c r="O754" s="277">
        <f>ROUND(W73,0)</f>
        <v>1706816</v>
      </c>
      <c r="P754" s="277">
        <f>IF(W76&gt;0,ROUND(W76,0),0)</f>
        <v>882</v>
      </c>
      <c r="Q754" s="277">
        <f>IF(W77&gt;0,ROUND(W77,0),0)</f>
        <v>0</v>
      </c>
      <c r="R754" s="277">
        <f>IF(W78&gt;0,ROUND(W78,0),0)</f>
        <v>225</v>
      </c>
      <c r="S754" s="277">
        <f>IF(W79&gt;0,ROUND(W79,0),0)</f>
        <v>3934</v>
      </c>
      <c r="T754" s="279">
        <f>IF(W80&gt;0,ROUND(W80,2),0)</f>
        <v>1.08</v>
      </c>
      <c r="U754" s="277"/>
      <c r="V754" s="278"/>
      <c r="W754" s="277"/>
      <c r="X754" s="277"/>
      <c r="Y754" s="277">
        <f t="shared" si="21"/>
        <v>297092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5">
      <c r="A755" s="209" t="str">
        <f>RIGHT($C$83,3)&amp;"*"&amp;RIGHT($C$82,4)&amp;"*"&amp;X$55&amp;"*"&amp;"A"</f>
        <v>197*2020*7130*A</v>
      </c>
      <c r="B755" s="277">
        <f>ROUND(X59,0)</f>
        <v>15832</v>
      </c>
      <c r="C755" s="279">
        <f>ROUND(X60,2)</f>
        <v>4.79</v>
      </c>
      <c r="D755" s="277">
        <f>ROUND(X61,0)</f>
        <v>458413</v>
      </c>
      <c r="E755" s="277">
        <f>ROUND(X62,0)</f>
        <v>82934</v>
      </c>
      <c r="F755" s="277">
        <f>ROUND(X63,0)</f>
        <v>0</v>
      </c>
      <c r="G755" s="277">
        <f>ROUND(X64,0)</f>
        <v>56763</v>
      </c>
      <c r="H755" s="277">
        <f>ROUND(X65,0)</f>
        <v>8530</v>
      </c>
      <c r="I755" s="277">
        <f>ROUND(X66,0)</f>
        <v>476880</v>
      </c>
      <c r="J755" s="277">
        <f>ROUND(X67,0)</f>
        <v>227159</v>
      </c>
      <c r="K755" s="277">
        <f>ROUND(X68,0)</f>
        <v>625257</v>
      </c>
      <c r="L755" s="277">
        <f>ROUND(X69,0)</f>
        <v>283319</v>
      </c>
      <c r="M755" s="277">
        <f>ROUND(X70,0)</f>
        <v>0</v>
      </c>
      <c r="N755" s="277">
        <f>ROUND(X75,0)</f>
        <v>74902467</v>
      </c>
      <c r="O755" s="277">
        <f>ROUND(X73,0)</f>
        <v>11121100</v>
      </c>
      <c r="P755" s="277">
        <f>IF(X76&gt;0,ROUND(X76,0),0)</f>
        <v>5984</v>
      </c>
      <c r="Q755" s="277">
        <f>IF(X77&gt;0,ROUND(X77,0),0)</f>
        <v>0</v>
      </c>
      <c r="R755" s="277">
        <f>IF(X78&gt;0,ROUND(X78,0),0)</f>
        <v>1525</v>
      </c>
      <c r="S755" s="277">
        <f>IF(X79&gt;0,ROUND(X79,0),0)</f>
        <v>5910</v>
      </c>
      <c r="T755" s="279">
        <f>IF(X80&gt;0,ROUND(X80,2),0)</f>
        <v>4.7300000000000004</v>
      </c>
      <c r="U755" s="277"/>
      <c r="V755" s="278"/>
      <c r="W755" s="277"/>
      <c r="X755" s="277"/>
      <c r="Y755" s="277">
        <f t="shared" si="21"/>
        <v>2852717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5">
      <c r="A756" s="209" t="str">
        <f>RIGHT($C$83,3)&amp;"*"&amp;RIGHT($C$82,4)&amp;"*"&amp;Y$55&amp;"*"&amp;"A"</f>
        <v>197*2020*7140*A</v>
      </c>
      <c r="B756" s="277">
        <f>ROUND(Y59,0)</f>
        <v>25113</v>
      </c>
      <c r="C756" s="279">
        <f>ROUND(Y60,2)</f>
        <v>28.33</v>
      </c>
      <c r="D756" s="277">
        <f>ROUND(Y61,0)</f>
        <v>2905878</v>
      </c>
      <c r="E756" s="277">
        <f>ROUND(Y62,0)</f>
        <v>516111</v>
      </c>
      <c r="F756" s="277">
        <f>ROUND(Y63,0)</f>
        <v>254025</v>
      </c>
      <c r="G756" s="277">
        <f>ROUND(Y64,0)</f>
        <v>84967</v>
      </c>
      <c r="H756" s="277">
        <f>ROUND(Y65,0)</f>
        <v>73</v>
      </c>
      <c r="I756" s="277">
        <f>ROUND(Y66,0)</f>
        <v>6795</v>
      </c>
      <c r="J756" s="277">
        <f>ROUND(Y67,0)</f>
        <v>533770</v>
      </c>
      <c r="K756" s="277">
        <f>ROUND(Y68,0)</f>
        <v>11082</v>
      </c>
      <c r="L756" s="277">
        <f>ROUND(Y69,0)</f>
        <v>798304</v>
      </c>
      <c r="M756" s="277">
        <f>ROUND(Y70,0)</f>
        <v>0</v>
      </c>
      <c r="N756" s="277">
        <f>ROUND(Y75,0)</f>
        <v>44685231</v>
      </c>
      <c r="O756" s="277">
        <f>ROUND(Y73,0)</f>
        <v>14559218</v>
      </c>
      <c r="P756" s="277">
        <f>IF(Y76&gt;0,ROUND(Y76,0),0)</f>
        <v>14061</v>
      </c>
      <c r="Q756" s="277">
        <f>IF(Y77&gt;0,ROUND(Y77,0),0)</f>
        <v>0</v>
      </c>
      <c r="R756" s="277">
        <f>IF(Y78&gt;0,ROUND(Y78,0),0)</f>
        <v>3584</v>
      </c>
      <c r="S756" s="277">
        <f>IF(Y79&gt;0,ROUND(Y79,0),0)</f>
        <v>34642</v>
      </c>
      <c r="T756" s="279">
        <f>IF(Y80&gt;0,ROUND(Y80,2),0)</f>
        <v>23.48</v>
      </c>
      <c r="U756" s="277"/>
      <c r="V756" s="278"/>
      <c r="W756" s="277"/>
      <c r="X756" s="277"/>
      <c r="Y756" s="277">
        <f t="shared" si="21"/>
        <v>3939517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5">
      <c r="A757" s="209" t="str">
        <f>RIGHT($C$83,3)&amp;"*"&amp;RIGHT($C$82,4)&amp;"*"&amp;Z$55&amp;"*"&amp;"A"</f>
        <v>197*2020*7150*A</v>
      </c>
      <c r="B757" s="277">
        <f>ROUND(Z59,0)</f>
        <v>15433</v>
      </c>
      <c r="C757" s="279">
        <f>ROUND(Z60,2)</f>
        <v>5.86</v>
      </c>
      <c r="D757" s="277">
        <f>ROUND(Z61,0)</f>
        <v>575882</v>
      </c>
      <c r="E757" s="277">
        <f>ROUND(Z62,0)</f>
        <v>104036</v>
      </c>
      <c r="F757" s="277">
        <f>ROUND(Z63,0)</f>
        <v>0</v>
      </c>
      <c r="G757" s="277">
        <f>ROUND(Z64,0)</f>
        <v>28954</v>
      </c>
      <c r="H757" s="277">
        <f>ROUND(Z65,0)</f>
        <v>0</v>
      </c>
      <c r="I757" s="277">
        <f>ROUND(Z66,0)</f>
        <v>410002</v>
      </c>
      <c r="J757" s="277">
        <f>ROUND(Z67,0)</f>
        <v>191096</v>
      </c>
      <c r="K757" s="277">
        <f>ROUND(Z68,0)</f>
        <v>1369</v>
      </c>
      <c r="L757" s="277">
        <f>ROUND(Z69,0)</f>
        <v>296037</v>
      </c>
      <c r="M757" s="277">
        <f>ROUND(Z70,0)</f>
        <v>0</v>
      </c>
      <c r="N757" s="277">
        <f>ROUND(Z75,0)</f>
        <v>42351197</v>
      </c>
      <c r="O757" s="277">
        <f>ROUND(Z73,0)</f>
        <v>271768</v>
      </c>
      <c r="P757" s="277">
        <f>IF(Z76&gt;0,ROUND(Z76,0),0)</f>
        <v>5034</v>
      </c>
      <c r="Q757" s="277">
        <f>IF(Z77&gt;0,ROUND(Z77,0),0)</f>
        <v>0</v>
      </c>
      <c r="R757" s="277">
        <f>IF(Z78&gt;0,ROUND(Z78,0),0)</f>
        <v>1283</v>
      </c>
      <c r="S757" s="277">
        <f>IF(Z79&gt;0,ROUND(Z79,0),0)</f>
        <v>0</v>
      </c>
      <c r="T757" s="279">
        <f>IF(Z80&gt;0,ROUND(Z80,2),0)</f>
        <v>5</v>
      </c>
      <c r="U757" s="277"/>
      <c r="V757" s="278"/>
      <c r="W757" s="277"/>
      <c r="X757" s="277"/>
      <c r="Y757" s="277">
        <f t="shared" si="21"/>
        <v>1917993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5">
      <c r="A758" s="209" t="str">
        <f>RIGHT($C$83,3)&amp;"*"&amp;RIGHT($C$82,4)&amp;"*"&amp;AA$55&amp;"*"&amp;"A"</f>
        <v>197*2020*7160*A</v>
      </c>
      <c r="B758" s="277">
        <f>ROUND(AA59,0)</f>
        <v>1077</v>
      </c>
      <c r="C758" s="279">
        <f>ROUND(AA60,2)</f>
        <v>1.1599999999999999</v>
      </c>
      <c r="D758" s="277">
        <f>ROUND(AA61,0)</f>
        <v>165513</v>
      </c>
      <c r="E758" s="277">
        <f>ROUND(AA62,0)</f>
        <v>30125</v>
      </c>
      <c r="F758" s="277">
        <f>ROUND(AA63,0)</f>
        <v>0</v>
      </c>
      <c r="G758" s="277">
        <f>ROUND(AA64,0)</f>
        <v>24978</v>
      </c>
      <c r="H758" s="277">
        <f>ROUND(AA65,0)</f>
        <v>0</v>
      </c>
      <c r="I758" s="277">
        <f>ROUND(AA66,0)</f>
        <v>995</v>
      </c>
      <c r="J758" s="277">
        <f>ROUND(AA67,0)</f>
        <v>13818</v>
      </c>
      <c r="K758" s="277">
        <f>ROUND(AA68,0)</f>
        <v>0</v>
      </c>
      <c r="L758" s="277">
        <f>ROUND(AA69,0)</f>
        <v>25815</v>
      </c>
      <c r="M758" s="277">
        <f>ROUND(AA70,0)</f>
        <v>0</v>
      </c>
      <c r="N758" s="277">
        <f>ROUND(AA75,0)</f>
        <v>2825986</v>
      </c>
      <c r="O758" s="277">
        <f>ROUND(AA73,0)</f>
        <v>689862</v>
      </c>
      <c r="P758" s="277">
        <f>IF(AA76&gt;0,ROUND(AA76,0),0)</f>
        <v>364</v>
      </c>
      <c r="Q758" s="277">
        <f>IF(AA77&gt;0,ROUND(AA77,0),0)</f>
        <v>0</v>
      </c>
      <c r="R758" s="277">
        <f>IF(AA78&gt;0,ROUND(AA78,0),0)</f>
        <v>93</v>
      </c>
      <c r="S758" s="277">
        <f>IF(AA79&gt;0,ROUND(AA79,0),0)</f>
        <v>1164</v>
      </c>
      <c r="T758" s="279">
        <f>IF(AA80&gt;0,ROUND(AA80,2),0)</f>
        <v>1.05</v>
      </c>
      <c r="U758" s="277"/>
      <c r="V758" s="278"/>
      <c r="W758" s="277"/>
      <c r="X758" s="277"/>
      <c r="Y758" s="277">
        <f t="shared" si="21"/>
        <v>187656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5">
      <c r="A759" s="209" t="str">
        <f>RIGHT($C$83,3)&amp;"*"&amp;RIGHT($C$82,4)&amp;"*"&amp;AB$55&amp;"*"&amp;"A"</f>
        <v>197*2020*7170*A</v>
      </c>
      <c r="B759" s="277"/>
      <c r="C759" s="279">
        <f>ROUND(AB60,2)</f>
        <v>11.87</v>
      </c>
      <c r="D759" s="277">
        <f>ROUND(AB61,0)</f>
        <v>1242895</v>
      </c>
      <c r="E759" s="277">
        <f>ROUND(AB62,0)</f>
        <v>224280</v>
      </c>
      <c r="F759" s="277">
        <f>ROUND(AB63,0)</f>
        <v>0</v>
      </c>
      <c r="G759" s="277">
        <f>ROUND(AB64,0)</f>
        <v>1416552</v>
      </c>
      <c r="H759" s="277">
        <f>ROUND(AB65,0)</f>
        <v>0</v>
      </c>
      <c r="I759" s="277">
        <f>ROUND(AB66,0)</f>
        <v>70746</v>
      </c>
      <c r="J759" s="277">
        <f>ROUND(AB67,0)</f>
        <v>47755</v>
      </c>
      <c r="K759" s="277">
        <f>ROUND(AB68,0)</f>
        <v>238320</v>
      </c>
      <c r="L759" s="277">
        <f>ROUND(AB69,0)</f>
        <v>58761</v>
      </c>
      <c r="M759" s="277">
        <f>ROUND(AB70,0)</f>
        <v>0</v>
      </c>
      <c r="N759" s="277">
        <f>ROUND(AB75,0)</f>
        <v>18569399</v>
      </c>
      <c r="O759" s="277">
        <f>ROUND(AB73,0)</f>
        <v>10275948</v>
      </c>
      <c r="P759" s="277">
        <f>IF(AB76&gt;0,ROUND(AB76,0),0)</f>
        <v>1258</v>
      </c>
      <c r="Q759" s="277">
        <f>IF(AB77&gt;0,ROUND(AB77,0),0)</f>
        <v>0</v>
      </c>
      <c r="R759" s="277">
        <f>IF(AB78&gt;0,ROUND(AB78,0),0)</f>
        <v>321</v>
      </c>
      <c r="S759" s="277">
        <f>IF(AB79&gt;0,ROUND(AB79,0),0)</f>
        <v>10670</v>
      </c>
      <c r="T759" s="279">
        <f>IF(AB80&gt;0,ROUND(AB80,2),0)</f>
        <v>10.58</v>
      </c>
      <c r="U759" s="277"/>
      <c r="V759" s="278"/>
      <c r="W759" s="277"/>
      <c r="X759" s="277"/>
      <c r="Y759" s="277">
        <f t="shared" si="21"/>
        <v>3126067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5">
      <c r="A760" s="209" t="str">
        <f>RIGHT($C$83,3)&amp;"*"&amp;RIGHT($C$82,4)&amp;"*"&amp;AC$55&amp;"*"&amp;"A"</f>
        <v>197*2020*7180*A</v>
      </c>
      <c r="B760" s="277">
        <f>ROUND(AC59,0)</f>
        <v>16963</v>
      </c>
      <c r="C760" s="279">
        <f>ROUND(AC60,2)</f>
        <v>10.65</v>
      </c>
      <c r="D760" s="277">
        <f>ROUND(AC61,0)</f>
        <v>941878</v>
      </c>
      <c r="E760" s="277">
        <f>ROUND(AC62,0)</f>
        <v>170422</v>
      </c>
      <c r="F760" s="277">
        <f>ROUND(AC63,0)</f>
        <v>32058</v>
      </c>
      <c r="G760" s="277">
        <f>ROUND(AC64,0)</f>
        <v>78314</v>
      </c>
      <c r="H760" s="277">
        <f>ROUND(AC65,0)</f>
        <v>0</v>
      </c>
      <c r="I760" s="277">
        <f>ROUND(AC66,0)</f>
        <v>4148</v>
      </c>
      <c r="J760" s="277">
        <f>ROUND(AC67,0)</f>
        <v>160765</v>
      </c>
      <c r="K760" s="277">
        <f>ROUND(AC68,0)</f>
        <v>131065</v>
      </c>
      <c r="L760" s="277">
        <f>ROUND(AC69,0)</f>
        <v>48659</v>
      </c>
      <c r="M760" s="277">
        <f>ROUND(AC70,0)</f>
        <v>0</v>
      </c>
      <c r="N760" s="277">
        <f>ROUND(AC75,0)</f>
        <v>9969123</v>
      </c>
      <c r="O760" s="277">
        <f>ROUND(AC73,0)</f>
        <v>6254717</v>
      </c>
      <c r="P760" s="277">
        <f>IF(AC76&gt;0,ROUND(AC76,0),0)</f>
        <v>4235</v>
      </c>
      <c r="Q760" s="277">
        <f>IF(AC77&gt;0,ROUND(AC77,0),0)</f>
        <v>0</v>
      </c>
      <c r="R760" s="277">
        <f>IF(AC78&gt;0,ROUND(AC78,0),0)</f>
        <v>1079</v>
      </c>
      <c r="S760" s="277">
        <f>IF(AC79&gt;0,ROUND(AC79,0),0)</f>
        <v>2389</v>
      </c>
      <c r="T760" s="279">
        <f>IF(AC80&gt;0,ROUND(AC80,2),0)</f>
        <v>9.3800000000000008</v>
      </c>
      <c r="U760" s="277"/>
      <c r="V760" s="278"/>
      <c r="W760" s="277"/>
      <c r="X760" s="277"/>
      <c r="Y760" s="277">
        <f t="shared" si="21"/>
        <v>1214585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5">
      <c r="A761" s="209" t="str">
        <f>RIGHT($C$83,3)&amp;"*"&amp;RIGHT($C$82,4)&amp;"*"&amp;AD$55&amp;"*"&amp;"A"</f>
        <v>197*2020*7190*A</v>
      </c>
      <c r="B761" s="277">
        <f>ROUND(AD59,0)</f>
        <v>0</v>
      </c>
      <c r="C761" s="279">
        <f>ROUND(AD60,2)</f>
        <v>0</v>
      </c>
      <c r="D761" s="277">
        <f>ROUND(AD61,0)</f>
        <v>0</v>
      </c>
      <c r="E761" s="277">
        <f>ROUND(AD62,0)</f>
        <v>0</v>
      </c>
      <c r="F761" s="277">
        <f>ROUND(AD63,0)</f>
        <v>0</v>
      </c>
      <c r="G761" s="277">
        <f>ROUND(AD64,0)</f>
        <v>0</v>
      </c>
      <c r="H761" s="277">
        <f>ROUND(AD65,0)</f>
        <v>0</v>
      </c>
      <c r="I761" s="277">
        <f>ROUND(AD66,0)</f>
        <v>0</v>
      </c>
      <c r="J761" s="277">
        <f>ROUND(AD67,0)</f>
        <v>0</v>
      </c>
      <c r="K761" s="277">
        <f>ROUND(AD68,0)</f>
        <v>0</v>
      </c>
      <c r="L761" s="277">
        <f>ROUND(AD69,0)</f>
        <v>0</v>
      </c>
      <c r="M761" s="277">
        <f>ROUND(AD70,0)</f>
        <v>0</v>
      </c>
      <c r="N761" s="277">
        <f>ROUND(AD75,0)</f>
        <v>0</v>
      </c>
      <c r="O761" s="277">
        <f>ROUND(AD73,0)</f>
        <v>0</v>
      </c>
      <c r="P761" s="277">
        <f>IF(AD76&gt;0,ROUND(AD76,0),0)</f>
        <v>0</v>
      </c>
      <c r="Q761" s="277">
        <f>IF(AD77&gt;0,ROUND(AD77,0),0)</f>
        <v>0</v>
      </c>
      <c r="R761" s="277">
        <f>IF(AD78&gt;0,ROUND(AD78,0),0)</f>
        <v>0</v>
      </c>
      <c r="S761" s="277">
        <f>IF(AD79&gt;0,ROUND(AD79,0),0)</f>
        <v>0</v>
      </c>
      <c r="T761" s="279">
        <f>IF(AD80&gt;0,ROUND(AD80,2),0)</f>
        <v>0</v>
      </c>
      <c r="U761" s="277"/>
      <c r="V761" s="278"/>
      <c r="W761" s="277"/>
      <c r="X761" s="277"/>
      <c r="Y761" s="277">
        <f t="shared" si="21"/>
        <v>0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5">
      <c r="A762" s="209" t="str">
        <f>RIGHT($C$83,3)&amp;"*"&amp;RIGHT($C$82,4)&amp;"*"&amp;AE$55&amp;"*"&amp;"A"</f>
        <v>197*2020*7200*A</v>
      </c>
      <c r="B762" s="277">
        <f>ROUND(AE59,0)</f>
        <v>19366</v>
      </c>
      <c r="C762" s="279">
        <f>ROUND(AE60,2)</f>
        <v>7.67</v>
      </c>
      <c r="D762" s="277">
        <f>ROUND(AE61,0)</f>
        <v>609066</v>
      </c>
      <c r="E762" s="277">
        <f>ROUND(AE62,0)</f>
        <v>109857</v>
      </c>
      <c r="F762" s="277">
        <f>ROUND(AE63,0)</f>
        <v>0</v>
      </c>
      <c r="G762" s="277">
        <f>ROUND(AE64,0)</f>
        <v>6559</v>
      </c>
      <c r="H762" s="277">
        <f>ROUND(AE65,0)</f>
        <v>2686</v>
      </c>
      <c r="I762" s="277">
        <f>ROUND(AE66,0)</f>
        <v>13707</v>
      </c>
      <c r="J762" s="277">
        <f>ROUND(AE67,0)</f>
        <v>159930</v>
      </c>
      <c r="K762" s="277">
        <f>ROUND(AE68,0)</f>
        <v>89870</v>
      </c>
      <c r="L762" s="277">
        <f>ROUND(AE69,0)</f>
        <v>44194</v>
      </c>
      <c r="M762" s="277">
        <f>ROUND(AE70,0)</f>
        <v>0</v>
      </c>
      <c r="N762" s="277">
        <f>ROUND(AE75,0)</f>
        <v>3633715</v>
      </c>
      <c r="O762" s="277">
        <f>ROUND(AE73,0)</f>
        <v>1509470</v>
      </c>
      <c r="P762" s="277">
        <f>IF(AE76&gt;0,ROUND(AE76,0),0)</f>
        <v>4213</v>
      </c>
      <c r="Q762" s="277">
        <f>IF(AE77&gt;0,ROUND(AE77,0),0)</f>
        <v>0</v>
      </c>
      <c r="R762" s="277">
        <f>IF(AE78&gt;0,ROUND(AE78,0),0)</f>
        <v>1074</v>
      </c>
      <c r="S762" s="277">
        <f>IF(AE79&gt;0,ROUND(AE79,0),0)</f>
        <v>5177</v>
      </c>
      <c r="T762" s="279">
        <f>IF(AE80&gt;0,ROUND(AE80,2),0)</f>
        <v>6.23</v>
      </c>
      <c r="U762" s="277"/>
      <c r="V762" s="278"/>
      <c r="W762" s="277"/>
      <c r="X762" s="277"/>
      <c r="Y762" s="277">
        <f t="shared" si="21"/>
        <v>891368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5">
      <c r="A763" s="209" t="str">
        <f>RIGHT($C$83,3)&amp;"*"&amp;RIGHT($C$82,4)&amp;"*"&amp;AF$55&amp;"*"&amp;"A"</f>
        <v>197*2020*7220*A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>
        <f t="shared" si="21"/>
        <v>0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5">
      <c r="A764" s="209" t="str">
        <f>RIGHT($C$83,3)&amp;"*"&amp;RIGHT($C$82,4)&amp;"*"&amp;AG$55&amp;"*"&amp;"A"</f>
        <v>197*2020*7230*A</v>
      </c>
      <c r="B764" s="277">
        <f>ROUND(AG59,0)</f>
        <v>15301</v>
      </c>
      <c r="C764" s="279">
        <f>ROUND(AG60,2)</f>
        <v>22.17</v>
      </c>
      <c r="D764" s="277">
        <f>ROUND(AG61,0)</f>
        <v>2561720</v>
      </c>
      <c r="E764" s="277">
        <f>ROUND(AG62,0)</f>
        <v>457706</v>
      </c>
      <c r="F764" s="277">
        <f>ROUND(AG63,0)</f>
        <v>181723</v>
      </c>
      <c r="G764" s="277">
        <f>ROUND(AG64,0)</f>
        <v>238513</v>
      </c>
      <c r="H764" s="277">
        <f>ROUND(AG65,0)</f>
        <v>0</v>
      </c>
      <c r="I764" s="277">
        <f>ROUND(AG66,0)</f>
        <v>47212</v>
      </c>
      <c r="J764" s="277">
        <f>ROUND(AG67,0)</f>
        <v>161258</v>
      </c>
      <c r="K764" s="277">
        <f>ROUND(AG68,0)</f>
        <v>8009</v>
      </c>
      <c r="L764" s="277">
        <f>ROUND(AG69,0)</f>
        <v>127496</v>
      </c>
      <c r="M764" s="277">
        <f>ROUND(AG70,0)</f>
        <v>0</v>
      </c>
      <c r="N764" s="277">
        <f>ROUND(AG75,0)</f>
        <v>46899596</v>
      </c>
      <c r="O764" s="277">
        <f>ROUND(AG73,0)</f>
        <v>9600071</v>
      </c>
      <c r="P764" s="277">
        <f>IF(AG76&gt;0,ROUND(AG76,0),0)</f>
        <v>4248</v>
      </c>
      <c r="Q764" s="277">
        <f>IF(AG77&gt;0,ROUND(AG77,0),0)</f>
        <v>0</v>
      </c>
      <c r="R764" s="277">
        <f>IF(AG78&gt;0,ROUND(AG78,0),0)</f>
        <v>1083</v>
      </c>
      <c r="S764" s="277">
        <f>IF(AG79&gt;0,ROUND(AG79,0),0)</f>
        <v>43803</v>
      </c>
      <c r="T764" s="279">
        <f>IF(AG80&gt;0,ROUND(AG80,2),0)</f>
        <v>19.37</v>
      </c>
      <c r="U764" s="277"/>
      <c r="V764" s="278"/>
      <c r="W764" s="277"/>
      <c r="X764" s="277"/>
      <c r="Y764" s="277">
        <f t="shared" si="21"/>
        <v>2542526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5">
      <c r="A765" s="209" t="str">
        <f>RIGHT($C$83,3)&amp;"*"&amp;RIGHT($C$82,4)&amp;"*"&amp;AH$55&amp;"*"&amp;"A"</f>
        <v>197*2020*7240*A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>
        <f t="shared" si="21"/>
        <v>0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5">
      <c r="A766" s="209" t="str">
        <f>RIGHT($C$83,3)&amp;"*"&amp;RIGHT($C$82,4)&amp;"*"&amp;AI$55&amp;"*"&amp;"A"</f>
        <v>197*2020*7250*A</v>
      </c>
      <c r="B766" s="277">
        <f>ROUND(AI59,0)</f>
        <v>7280</v>
      </c>
      <c r="C766" s="279">
        <f>ROUND(AI60,2)</f>
        <v>16.100000000000001</v>
      </c>
      <c r="D766" s="277">
        <f>ROUND(AI61,0)</f>
        <v>1542406</v>
      </c>
      <c r="E766" s="277">
        <f>ROUND(AI62,0)</f>
        <v>277242</v>
      </c>
      <c r="F766" s="277">
        <f>ROUND(AI63,0)</f>
        <v>0</v>
      </c>
      <c r="G766" s="277">
        <f>ROUND(AI64,0)</f>
        <v>270991</v>
      </c>
      <c r="H766" s="277">
        <f>ROUND(AI65,0)</f>
        <v>0</v>
      </c>
      <c r="I766" s="277">
        <f>ROUND(AI66,0)</f>
        <v>1016</v>
      </c>
      <c r="J766" s="277">
        <f>ROUND(AI67,0)</f>
        <v>189008</v>
      </c>
      <c r="K766" s="277">
        <f>ROUND(AI68,0)</f>
        <v>2</v>
      </c>
      <c r="L766" s="277">
        <f>ROUND(AI69,0)</f>
        <v>79418</v>
      </c>
      <c r="M766" s="277">
        <f>ROUND(AI70,0)</f>
        <v>0</v>
      </c>
      <c r="N766" s="277">
        <f>ROUND(AI75,0)</f>
        <v>7532899</v>
      </c>
      <c r="O766" s="277">
        <f>ROUND(AI73,0)</f>
        <v>1259027</v>
      </c>
      <c r="P766" s="277">
        <f>IF(AI76&gt;0,ROUND(AI76,0),0)</f>
        <v>4979</v>
      </c>
      <c r="Q766" s="277">
        <f>IF(AI77&gt;0,ROUND(AI77,0),0)</f>
        <v>0</v>
      </c>
      <c r="R766" s="277">
        <f>IF(AI78&gt;0,ROUND(AI78,0),0)</f>
        <v>1269</v>
      </c>
      <c r="S766" s="277">
        <f>IF(AI79&gt;0,ROUND(AI79,0),0)</f>
        <v>31081</v>
      </c>
      <c r="T766" s="279">
        <f>IF(AI80&gt;0,ROUND(AI80,2),0)</f>
        <v>13.65</v>
      </c>
      <c r="U766" s="277"/>
      <c r="V766" s="278"/>
      <c r="W766" s="277"/>
      <c r="X766" s="277"/>
      <c r="Y766" s="277">
        <f t="shared" si="21"/>
        <v>1681595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5">
      <c r="A767" s="209" t="str">
        <f>RIGHT($C$83,3)&amp;"*"&amp;RIGHT($C$82,4)&amp;"*"&amp;AJ$55&amp;"*"&amp;"A"</f>
        <v>197*2020*7260*A</v>
      </c>
      <c r="B767" s="277">
        <f>ROUND(AJ59,0)</f>
        <v>0</v>
      </c>
      <c r="C767" s="279">
        <f>ROUND(AJ60,2)</f>
        <v>0</v>
      </c>
      <c r="D767" s="277">
        <f>ROUND(AJ61,0)</f>
        <v>0</v>
      </c>
      <c r="E767" s="277">
        <f>ROUND(AJ62,0)</f>
        <v>0</v>
      </c>
      <c r="F767" s="277">
        <f>ROUND(AJ63,0)</f>
        <v>0</v>
      </c>
      <c r="G767" s="277">
        <f>ROUND(AJ64,0)</f>
        <v>0</v>
      </c>
      <c r="H767" s="277">
        <f>ROUND(AJ65,0)</f>
        <v>0</v>
      </c>
      <c r="I767" s="277">
        <f>ROUND(AJ66,0)</f>
        <v>0</v>
      </c>
      <c r="J767" s="277">
        <f>ROUND(AJ67,0)</f>
        <v>0</v>
      </c>
      <c r="K767" s="277">
        <f>ROUND(AJ68,0)</f>
        <v>0</v>
      </c>
      <c r="L767" s="277">
        <f>ROUND(AJ69,0)</f>
        <v>0</v>
      </c>
      <c r="M767" s="277">
        <f>ROUND(AJ70,0)</f>
        <v>0</v>
      </c>
      <c r="N767" s="277">
        <f>ROUND(AJ75,0)</f>
        <v>0</v>
      </c>
      <c r="O767" s="277">
        <f>ROUND(AJ73,0)</f>
        <v>0</v>
      </c>
      <c r="P767" s="277">
        <f>IF(AJ76&gt;0,ROUND(AJ76,0),0)</f>
        <v>0</v>
      </c>
      <c r="Q767" s="277">
        <f>IF(AJ77&gt;0,ROUND(AJ77,0),0)</f>
        <v>0</v>
      </c>
      <c r="R767" s="277">
        <f>IF(AJ78&gt;0,ROUND(AJ78,0),0)</f>
        <v>0</v>
      </c>
      <c r="S767" s="277">
        <f>IF(AJ79&gt;0,ROUND(AJ79,0),0)</f>
        <v>0</v>
      </c>
      <c r="T767" s="279">
        <f>IF(AJ80&gt;0,ROUND(AJ80,2),0)</f>
        <v>0</v>
      </c>
      <c r="U767" s="277"/>
      <c r="V767" s="278"/>
      <c r="W767" s="277"/>
      <c r="X767" s="277"/>
      <c r="Y767" s="277">
        <f t="shared" si="21"/>
        <v>0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5">
      <c r="A768" s="209" t="str">
        <f>RIGHT($C$83,3)&amp;"*"&amp;RIGHT($C$82,4)&amp;"*"&amp;AK$55&amp;"*"&amp;"A"</f>
        <v>197*2020*7310*A</v>
      </c>
      <c r="B768" s="277">
        <f>ROUND(AK59,0)</f>
        <v>2715</v>
      </c>
      <c r="C768" s="279">
        <f>ROUND(AK60,2)</f>
        <v>0.54</v>
      </c>
      <c r="D768" s="277">
        <f>ROUND(AK61,0)</f>
        <v>63002</v>
      </c>
      <c r="E768" s="277">
        <f>ROUND(AK62,0)</f>
        <v>11589</v>
      </c>
      <c r="F768" s="277">
        <f>ROUND(AK63,0)</f>
        <v>0</v>
      </c>
      <c r="G768" s="277">
        <f>ROUND(AK64,0)</f>
        <v>2478</v>
      </c>
      <c r="H768" s="277">
        <f>ROUND(AK65,0)</f>
        <v>256</v>
      </c>
      <c r="I768" s="277">
        <f>ROUND(AK66,0)</f>
        <v>0</v>
      </c>
      <c r="J768" s="277">
        <f>ROUND(AK67,0)</f>
        <v>0</v>
      </c>
      <c r="K768" s="277">
        <f>ROUND(AK68,0)</f>
        <v>5</v>
      </c>
      <c r="L768" s="277">
        <f>ROUND(AK69,0)</f>
        <v>103</v>
      </c>
      <c r="M768" s="277">
        <f>ROUND(AK70,0)</f>
        <v>0</v>
      </c>
      <c r="N768" s="277">
        <f>ROUND(AK75,0)</f>
        <v>583385</v>
      </c>
      <c r="O768" s="277">
        <f>ROUND(AK73,0)</f>
        <v>316968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0.54</v>
      </c>
      <c r="U768" s="277"/>
      <c r="V768" s="278"/>
      <c r="W768" s="277"/>
      <c r="X768" s="277"/>
      <c r="Y768" s="277">
        <f t="shared" si="21"/>
        <v>28109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5">
      <c r="A769" s="209" t="str">
        <f>RIGHT($C$83,3)&amp;"*"&amp;RIGHT($C$82,4)&amp;"*"&amp;AL$55&amp;"*"&amp;"A"</f>
        <v>197*2020*7320*A</v>
      </c>
      <c r="B769" s="277">
        <f>ROUND(AL59,0)</f>
        <v>798</v>
      </c>
      <c r="C769" s="279">
        <f>ROUND(AL60,2)</f>
        <v>0.44</v>
      </c>
      <c r="D769" s="277">
        <f>ROUND(AL61,0)</f>
        <v>0</v>
      </c>
      <c r="E769" s="277">
        <f>ROUND(AL62,0)</f>
        <v>0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56145</v>
      </c>
      <c r="M769" s="277">
        <f>ROUND(AL70,0)</f>
        <v>0</v>
      </c>
      <c r="N769" s="277">
        <f>ROUND(AL75,0)</f>
        <v>376622</v>
      </c>
      <c r="O769" s="277">
        <f>ROUND(AL73,0)</f>
        <v>139600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>
        <f t="shared" si="21"/>
        <v>14271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5">
      <c r="A770" s="209" t="str">
        <f>RIGHT($C$83,3)&amp;"*"&amp;RIGHT($C$82,4)&amp;"*"&amp;AM$55&amp;"*"&amp;"A"</f>
        <v>197*2020*7330*A</v>
      </c>
      <c r="B770" s="277">
        <f>ROUND(AM59,0)</f>
        <v>0</v>
      </c>
      <c r="C770" s="279">
        <f>ROUND(AM60,2)</f>
        <v>0</v>
      </c>
      <c r="D770" s="277">
        <f>ROUND(AM61,0)</f>
        <v>0</v>
      </c>
      <c r="E770" s="277">
        <f>ROUND(AM62,0)</f>
        <v>0</v>
      </c>
      <c r="F770" s="277">
        <f>ROUND(AM63,0)</f>
        <v>0</v>
      </c>
      <c r="G770" s="277">
        <f>ROUND(AM64,0)</f>
        <v>0</v>
      </c>
      <c r="H770" s="277">
        <f>ROUND(AM65,0)</f>
        <v>0</v>
      </c>
      <c r="I770" s="277">
        <f>ROUND(AM66,0)</f>
        <v>0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>
        <f t="shared" si="21"/>
        <v>0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5">
      <c r="A771" s="209" t="str">
        <f>RIGHT($C$83,3)&amp;"*"&amp;RIGHT($C$82,4)&amp;"*"&amp;AN$55&amp;"*"&amp;"A"</f>
        <v>197*2020*7340*A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>
        <f t="shared" si="21"/>
        <v>0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5">
      <c r="A772" s="209" t="str">
        <f>RIGHT($C$83,3)&amp;"*"&amp;RIGHT($C$82,4)&amp;"*"&amp;AO$55&amp;"*"&amp;"A"</f>
        <v>197*2020*7350*A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>
        <f t="shared" si="21"/>
        <v>0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5">
      <c r="A773" s="209" t="str">
        <f>RIGHT($C$83,3)&amp;"*"&amp;RIGHT($C$82,4)&amp;"*"&amp;AP$55&amp;"*"&amp;"A"</f>
        <v>197*2020*7380*A</v>
      </c>
      <c r="B773" s="277">
        <f>ROUND(AP59,0)</f>
        <v>0</v>
      </c>
      <c r="C773" s="279">
        <f>ROUND(AP60,2)</f>
        <v>0</v>
      </c>
      <c r="D773" s="277">
        <f>ROUND(AP61,0)</f>
        <v>0</v>
      </c>
      <c r="E773" s="277">
        <f>ROUND(AP62,0)</f>
        <v>0</v>
      </c>
      <c r="F773" s="277">
        <f>ROUND(AP63,0)</f>
        <v>0</v>
      </c>
      <c r="G773" s="277">
        <f>ROUND(AP64,0)</f>
        <v>0</v>
      </c>
      <c r="H773" s="277">
        <f>ROUND(AP65,0)</f>
        <v>0</v>
      </c>
      <c r="I773" s="277">
        <f>ROUND(AP66,0)</f>
        <v>0</v>
      </c>
      <c r="J773" s="277">
        <f>ROUND(AP67,0)</f>
        <v>0</v>
      </c>
      <c r="K773" s="277">
        <f>ROUND(AP68,0)</f>
        <v>0</v>
      </c>
      <c r="L773" s="277">
        <f>ROUND(AP69,0)</f>
        <v>0</v>
      </c>
      <c r="M773" s="277">
        <f>ROUND(AP70,0)</f>
        <v>0</v>
      </c>
      <c r="N773" s="277">
        <f>ROUND(AP75,0)</f>
        <v>0</v>
      </c>
      <c r="O773" s="277">
        <f>ROUND(AP73,0)</f>
        <v>0</v>
      </c>
      <c r="P773" s="277">
        <f>IF(AP76&gt;0,ROUND(AP76,0),0)</f>
        <v>0</v>
      </c>
      <c r="Q773" s="277">
        <f>IF(AP77&gt;0,ROUND(AP77,0),0)</f>
        <v>0</v>
      </c>
      <c r="R773" s="277">
        <f>IF(AP78&gt;0,ROUND(AP78,0),0)</f>
        <v>0</v>
      </c>
      <c r="S773" s="277">
        <f>IF(AP79&gt;0,ROUND(AP79,0),0)</f>
        <v>0</v>
      </c>
      <c r="T773" s="279">
        <f>IF(AP80&gt;0,ROUND(AP80,2),0)</f>
        <v>0</v>
      </c>
      <c r="U773" s="277"/>
      <c r="V773" s="278"/>
      <c r="W773" s="277"/>
      <c r="X773" s="277"/>
      <c r="Y773" s="277">
        <f t="shared" si="21"/>
        <v>0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5">
      <c r="A774" s="209" t="str">
        <f>RIGHT($C$83,3)&amp;"*"&amp;RIGHT($C$82,4)&amp;"*"&amp;AQ$55&amp;"*"&amp;"A"</f>
        <v>197*2020*7390*A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>
        <f t="shared" si="21"/>
        <v>0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5">
      <c r="A775" s="209" t="str">
        <f>RIGHT($C$83,3)&amp;"*"&amp;RIGHT($C$82,4)&amp;"*"&amp;AR$55&amp;"*"&amp;"A"</f>
        <v>197*2020*7400*A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>
        <f t="shared" si="21"/>
        <v>0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5">
      <c r="A776" s="209" t="str">
        <f>RIGHT($C$83,3)&amp;"*"&amp;RIGHT($C$82,4)&amp;"*"&amp;AS$55&amp;"*"&amp;"A"</f>
        <v>197*2020*7410*A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>
        <f t="shared" si="21"/>
        <v>0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5">
      <c r="A777" s="209" t="str">
        <f>RIGHT($C$83,3)&amp;"*"&amp;RIGHT($C$82,4)&amp;"*"&amp;AT$55&amp;"*"&amp;"A"</f>
        <v>197*2020*7420*A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>
        <f t="shared" si="21"/>
        <v>0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5">
      <c r="A778" s="209" t="str">
        <f>RIGHT($C$83,3)&amp;"*"&amp;RIGHT($C$82,4)&amp;"*"&amp;AU$55&amp;"*"&amp;"A"</f>
        <v>197*2020*7430*A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>
        <f t="shared" si="21"/>
        <v>0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5">
      <c r="A779" s="209" t="str">
        <f>RIGHT($C$83,3)&amp;"*"&amp;RIGHT($C$82,4)&amp;"*"&amp;AV$55&amp;"*"&amp;"A"</f>
        <v>197*2020*7490*A</v>
      </c>
      <c r="B779" s="277"/>
      <c r="C779" s="279">
        <f>ROUND(AV60,2)</f>
        <v>11.68</v>
      </c>
      <c r="D779" s="277">
        <f>ROUND(AV61,0)</f>
        <v>1146464</v>
      </c>
      <c r="E779" s="277">
        <f>ROUND(AV62,0)</f>
        <v>196689</v>
      </c>
      <c r="F779" s="277">
        <f>ROUND(AV63,0)</f>
        <v>1644973</v>
      </c>
      <c r="G779" s="277">
        <f>ROUND(AV64,0)</f>
        <v>269935</v>
      </c>
      <c r="H779" s="277">
        <f>ROUND(AV65,0)</f>
        <v>664</v>
      </c>
      <c r="I779" s="277">
        <f>ROUND(AV66,0)</f>
        <v>1441459</v>
      </c>
      <c r="J779" s="277">
        <f>ROUND(AV67,0)</f>
        <v>0</v>
      </c>
      <c r="K779" s="277">
        <f>ROUND(AV68,0)</f>
        <v>11667</v>
      </c>
      <c r="L779" s="277">
        <f>ROUND(AV69,0)</f>
        <v>33229</v>
      </c>
      <c r="M779" s="277">
        <f>ROUND(AV70,0)</f>
        <v>0</v>
      </c>
      <c r="N779" s="277">
        <f>ROUND(AV75,0)</f>
        <v>10938549</v>
      </c>
      <c r="O779" s="277">
        <f>ROUND(AV73,0)</f>
        <v>6437</v>
      </c>
      <c r="P779" s="277">
        <f>IF(AV76&gt;0,ROUND(AV76,0),0)</f>
        <v>0</v>
      </c>
      <c r="Q779" s="277">
        <f>IF(AV77&gt;0,ROUND(AV77,0),0)</f>
        <v>0</v>
      </c>
      <c r="R779" s="277">
        <f>IF(AV78&gt;0,ROUND(AV78,0),0)</f>
        <v>11460</v>
      </c>
      <c r="S779" s="277">
        <f>IF(AV79&gt;0,ROUND(AV79,0),0)</f>
        <v>1279</v>
      </c>
      <c r="T779" s="279">
        <f>IF(AV80&gt;0,ROUND(AV80,2),0)</f>
        <v>124.71</v>
      </c>
      <c r="U779" s="277"/>
      <c r="V779" s="278"/>
      <c r="W779" s="277"/>
      <c r="X779" s="277"/>
      <c r="Y779" s="277">
        <f t="shared" si="21"/>
        <v>2587140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5">
      <c r="A780" s="209" t="str">
        <f>RIGHT($C$83,3)&amp;"*"&amp;RIGHT($C$82,4)&amp;"*"&amp;AW$55&amp;"*"&amp;"A"</f>
        <v>197*2020*8200*A</v>
      </c>
      <c r="B780" s="277"/>
      <c r="C780" s="279">
        <f>ROUND(AW60,2)</f>
        <v>0</v>
      </c>
      <c r="D780" s="277">
        <f>ROUND(AW61,0)</f>
        <v>0</v>
      </c>
      <c r="E780" s="277">
        <f>ROUND(AW62,0)</f>
        <v>0</v>
      </c>
      <c r="F780" s="277">
        <f>ROUND(AW63,0)</f>
        <v>0</v>
      </c>
      <c r="G780" s="277">
        <f>ROUND(AW64,0)</f>
        <v>0</v>
      </c>
      <c r="H780" s="277">
        <f>ROUND(AW65,0)</f>
        <v>0</v>
      </c>
      <c r="I780" s="277">
        <f>ROUND(AW66,0)</f>
        <v>0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5">
      <c r="A781" s="209" t="str">
        <f>RIGHT($C$83,3)&amp;"*"&amp;RIGHT($C$82,4)&amp;"*"&amp;AX$55&amp;"*"&amp;"A"</f>
        <v>197*2020*8310*A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5">
      <c r="A782" s="209" t="str">
        <f>RIGHT($C$83,3)&amp;"*"&amp;RIGHT($C$82,4)&amp;"*"&amp;AY$55&amp;"*"&amp;"A"</f>
        <v>197*2020*8320*A</v>
      </c>
      <c r="B782" s="277">
        <f>ROUND(AY59,0)</f>
        <v>39775</v>
      </c>
      <c r="C782" s="279">
        <f>ROUND(AY60,2)</f>
        <v>18.3</v>
      </c>
      <c r="D782" s="277">
        <f>ROUND(AY61,0)</f>
        <v>932104</v>
      </c>
      <c r="E782" s="277">
        <f>ROUND(AY62,0)</f>
        <v>167175</v>
      </c>
      <c r="F782" s="277">
        <f>ROUND(AY63,0)</f>
        <v>0</v>
      </c>
      <c r="G782" s="277">
        <f>ROUND(AY64,0)</f>
        <v>493968</v>
      </c>
      <c r="H782" s="277">
        <f>ROUND(AY65,0)</f>
        <v>0</v>
      </c>
      <c r="I782" s="277">
        <f>ROUND(AY66,0)</f>
        <v>5021</v>
      </c>
      <c r="J782" s="277">
        <f>ROUND(AY67,0)</f>
        <v>207988</v>
      </c>
      <c r="K782" s="277">
        <f>ROUND(AY68,0)</f>
        <v>0</v>
      </c>
      <c r="L782" s="277">
        <f>ROUND(AY69,0)</f>
        <v>60173</v>
      </c>
      <c r="M782" s="277">
        <f>ROUND(AY70,0)</f>
        <v>0</v>
      </c>
      <c r="N782" s="277"/>
      <c r="O782" s="277"/>
      <c r="P782" s="277">
        <f>IF(AY76&gt;0,ROUND(AY76,0),0)</f>
        <v>5479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5">
      <c r="A783" s="209" t="str">
        <f>RIGHT($C$83,3)&amp;"*"&amp;RIGHT($C$82,4)&amp;"*"&amp;AZ$55&amp;"*"&amp;"A"</f>
        <v>197*2020*8330*A</v>
      </c>
      <c r="B783" s="277">
        <f>ROUND(AZ59,0)</f>
        <v>0</v>
      </c>
      <c r="C783" s="279">
        <f>ROUND(AZ60,2)</f>
        <v>0</v>
      </c>
      <c r="D783" s="277">
        <f>ROUND(AZ61,0)</f>
        <v>0</v>
      </c>
      <c r="E783" s="277">
        <f>ROUND(AZ62,0)</f>
        <v>0</v>
      </c>
      <c r="F783" s="277">
        <f>ROUND(AZ63,0)</f>
        <v>0</v>
      </c>
      <c r="G783" s="277">
        <f>ROUND(AZ64,0)</f>
        <v>0</v>
      </c>
      <c r="H783" s="277">
        <f>ROUND(AZ65,0)</f>
        <v>0</v>
      </c>
      <c r="I783" s="277">
        <f>ROUND(AZ66,0)</f>
        <v>0</v>
      </c>
      <c r="J783" s="277">
        <f>ROUND(AZ67,0)</f>
        <v>0</v>
      </c>
      <c r="K783" s="277">
        <f>ROUND(AZ68,0)</f>
        <v>0</v>
      </c>
      <c r="L783" s="277">
        <f>ROUND(AZ69,0)</f>
        <v>0</v>
      </c>
      <c r="M783" s="277">
        <f>ROUND(AZ70,0)</f>
        <v>0</v>
      </c>
      <c r="N783" s="277"/>
      <c r="O783" s="277"/>
      <c r="P783" s="277">
        <f>IF(AZ76&gt;0,ROUND(AZ76,0),0)</f>
        <v>0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5">
      <c r="A784" s="209" t="str">
        <f>RIGHT($C$83,3)&amp;"*"&amp;RIGHT($C$82,4)&amp;"*"&amp;BA$55&amp;"*"&amp;"A"</f>
        <v>197*2020*8350*A</v>
      </c>
      <c r="B784" s="277">
        <f>ROUND(BA59,0)</f>
        <v>0</v>
      </c>
      <c r="C784" s="279">
        <f>ROUND(BA60,2)</f>
        <v>0</v>
      </c>
      <c r="D784" s="277">
        <f>ROUND(BA61,0)</f>
        <v>0</v>
      </c>
      <c r="E784" s="277">
        <f>ROUND(BA62,0)</f>
        <v>0</v>
      </c>
      <c r="F784" s="277">
        <f>ROUND(BA63,0)</f>
        <v>0</v>
      </c>
      <c r="G784" s="277">
        <f>ROUND(BA64,0)</f>
        <v>0</v>
      </c>
      <c r="H784" s="277">
        <f>ROUND(BA65,0)</f>
        <v>0</v>
      </c>
      <c r="I784" s="277">
        <f>ROUND(BA66,0)</f>
        <v>0</v>
      </c>
      <c r="J784" s="277">
        <f>ROUND(BA67,0)</f>
        <v>0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0</v>
      </c>
      <c r="Q784" s="277">
        <f>IF(BA77&gt;0,ROUND(BA77,0),0)</f>
        <v>0</v>
      </c>
      <c r="R784" s="277">
        <f>IF(BA78&gt;0,ROUND(BA78,0),0)</f>
        <v>0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5">
      <c r="A785" s="209" t="str">
        <f>RIGHT($C$83,3)&amp;"*"&amp;RIGHT($C$82,4)&amp;"*"&amp;BB$55&amp;"*"&amp;"A"</f>
        <v>197*2020*8360*A</v>
      </c>
      <c r="B785" s="277"/>
      <c r="C785" s="279">
        <f>ROUND(BB60,2)</f>
        <v>7.29</v>
      </c>
      <c r="D785" s="277">
        <f>ROUND(BB61,0)</f>
        <v>683915</v>
      </c>
      <c r="E785" s="277">
        <f>ROUND(BB62,0)</f>
        <v>122587</v>
      </c>
      <c r="F785" s="277">
        <f>ROUND(BB63,0)</f>
        <v>54996</v>
      </c>
      <c r="G785" s="277">
        <f>ROUND(BB64,0)</f>
        <v>3621</v>
      </c>
      <c r="H785" s="277">
        <f>ROUND(BB65,0)</f>
        <v>0</v>
      </c>
      <c r="I785" s="277">
        <f>ROUND(BB66,0)</f>
        <v>60333</v>
      </c>
      <c r="J785" s="277">
        <f>ROUND(BB67,0)</f>
        <v>28091</v>
      </c>
      <c r="K785" s="277">
        <f>ROUND(BB68,0)</f>
        <v>53</v>
      </c>
      <c r="L785" s="277">
        <f>ROUND(BB69,0)</f>
        <v>59949</v>
      </c>
      <c r="M785" s="277">
        <f>ROUND(BB70,0)</f>
        <v>0</v>
      </c>
      <c r="N785" s="277"/>
      <c r="O785" s="277"/>
      <c r="P785" s="277">
        <f>IF(BB76&gt;0,ROUND(BB76,0),0)</f>
        <v>740</v>
      </c>
      <c r="Q785" s="277">
        <f>IF(BB77&gt;0,ROUND(BB77,0),0)</f>
        <v>0</v>
      </c>
      <c r="R785" s="277">
        <f>IF(BB78&gt;0,ROUND(BB78,0),0)</f>
        <v>189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5">
      <c r="A786" s="209" t="str">
        <f>RIGHT($C$83,3)&amp;"*"&amp;RIGHT($C$82,4)&amp;"*"&amp;BC$55&amp;"*"&amp;"A"</f>
        <v>197*2020*8370*A</v>
      </c>
      <c r="B786" s="277"/>
      <c r="C786" s="279">
        <f>ROUND(BC60,2)</f>
        <v>0</v>
      </c>
      <c r="D786" s="277">
        <f>ROUND(BC61,0)</f>
        <v>0</v>
      </c>
      <c r="E786" s="277">
        <f>ROUND(BC62,0)</f>
        <v>0</v>
      </c>
      <c r="F786" s="277">
        <f>ROUND(BC63,0)</f>
        <v>0</v>
      </c>
      <c r="G786" s="277">
        <f>ROUND(BC64,0)</f>
        <v>0</v>
      </c>
      <c r="H786" s="277">
        <f>ROUND(BC65,0)</f>
        <v>0</v>
      </c>
      <c r="I786" s="277">
        <f>ROUND(BC66,0)</f>
        <v>0</v>
      </c>
      <c r="J786" s="277">
        <f>ROUND(BC67,0)</f>
        <v>0</v>
      </c>
      <c r="K786" s="277">
        <f>ROUND(BC68,0)</f>
        <v>0</v>
      </c>
      <c r="L786" s="277">
        <f>ROUND(BC69,0)</f>
        <v>0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5">
      <c r="A787" s="209" t="str">
        <f>RIGHT($C$83,3)&amp;"*"&amp;RIGHT($C$82,4)&amp;"*"&amp;BD$55&amp;"*"&amp;"A"</f>
        <v>197*2020*8420*A</v>
      </c>
      <c r="B787" s="277"/>
      <c r="C787" s="279">
        <f>ROUND(BD60,2)</f>
        <v>6.8</v>
      </c>
      <c r="D787" s="277">
        <f>ROUND(BD61,0)</f>
        <v>427177</v>
      </c>
      <c r="E787" s="277">
        <f>ROUND(BD62,0)</f>
        <v>76823</v>
      </c>
      <c r="F787" s="277">
        <f>ROUND(BD63,0)</f>
        <v>0</v>
      </c>
      <c r="G787" s="277">
        <f>ROUND(BD64,0)</f>
        <v>8235286</v>
      </c>
      <c r="H787" s="277">
        <f>ROUND(BD65,0)</f>
        <v>0</v>
      </c>
      <c r="I787" s="277">
        <f>ROUND(BD66,0)</f>
        <v>17374</v>
      </c>
      <c r="J787" s="277">
        <f>ROUND(BD67,0)</f>
        <v>97370</v>
      </c>
      <c r="K787" s="277">
        <f>ROUND(BD68,0)</f>
        <v>3027</v>
      </c>
      <c r="L787" s="277">
        <f>ROUND(BD69,0)</f>
        <v>166948</v>
      </c>
      <c r="M787" s="277">
        <f>ROUND(BD70,0)</f>
        <v>0</v>
      </c>
      <c r="N787" s="277"/>
      <c r="O787" s="277"/>
      <c r="P787" s="277">
        <f>IF(BD76&gt;0,ROUND(BD76,0),0)</f>
        <v>2565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5">
      <c r="A788" s="209" t="str">
        <f>RIGHT($C$83,3)&amp;"*"&amp;RIGHT($C$82,4)&amp;"*"&amp;BE$55&amp;"*"&amp;"A"</f>
        <v>197*2020*8430*A</v>
      </c>
      <c r="B788" s="277">
        <f>ROUND(BE59,0)</f>
        <v>155374</v>
      </c>
      <c r="C788" s="279">
        <f>ROUND(BE60,2)</f>
        <v>12.57</v>
      </c>
      <c r="D788" s="277">
        <f>ROUND(BE61,0)</f>
        <v>792180</v>
      </c>
      <c r="E788" s="277">
        <f>ROUND(BE62,0)</f>
        <v>142410</v>
      </c>
      <c r="F788" s="277">
        <f>ROUND(BE63,0)</f>
        <v>0</v>
      </c>
      <c r="G788" s="277">
        <f>ROUND(BE64,0)</f>
        <v>-3806</v>
      </c>
      <c r="H788" s="277">
        <f>ROUND(BE65,0)</f>
        <v>883171</v>
      </c>
      <c r="I788" s="277">
        <f>ROUND(BE66,0)</f>
        <v>143530</v>
      </c>
      <c r="J788" s="277">
        <f>ROUND(BE67,0)</f>
        <v>1026390</v>
      </c>
      <c r="K788" s="277">
        <f>ROUND(BE68,0)</f>
        <v>1602</v>
      </c>
      <c r="L788" s="277">
        <f>ROUND(BE69,0)</f>
        <v>469202</v>
      </c>
      <c r="M788" s="277">
        <f>ROUND(BE70,0)</f>
        <v>0</v>
      </c>
      <c r="N788" s="277"/>
      <c r="O788" s="277"/>
      <c r="P788" s="277">
        <f>IF(BE76&gt;0,ROUND(BE76,0),0)</f>
        <v>27038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5">
      <c r="A789" s="209" t="str">
        <f>RIGHT($C$83,3)&amp;"*"&amp;RIGHT($C$82,4)&amp;"*"&amp;BF$55&amp;"*"&amp;"A"</f>
        <v>197*2020*8460*A</v>
      </c>
      <c r="B789" s="277"/>
      <c r="C789" s="279">
        <f>ROUND(BF60,2)</f>
        <v>18.940000000000001</v>
      </c>
      <c r="D789" s="277">
        <f>ROUND(BF61,0)</f>
        <v>793556</v>
      </c>
      <c r="E789" s="277">
        <f>ROUND(BF62,0)</f>
        <v>143657</v>
      </c>
      <c r="F789" s="277">
        <f>ROUND(BF63,0)</f>
        <v>0</v>
      </c>
      <c r="G789" s="277">
        <f>ROUND(BF64,0)</f>
        <v>105702</v>
      </c>
      <c r="H789" s="277">
        <f>ROUND(BF65,0)</f>
        <v>0</v>
      </c>
      <c r="I789" s="277">
        <f>ROUND(BF66,0)</f>
        <v>536120</v>
      </c>
      <c r="J789" s="277">
        <f>ROUND(BF67,0)</f>
        <v>86893</v>
      </c>
      <c r="K789" s="277">
        <f>ROUND(BF68,0)</f>
        <v>0</v>
      </c>
      <c r="L789" s="277">
        <f>ROUND(BF69,0)</f>
        <v>5602</v>
      </c>
      <c r="M789" s="277">
        <f>ROUND(BF70,0)</f>
        <v>0</v>
      </c>
      <c r="N789" s="277"/>
      <c r="O789" s="277"/>
      <c r="P789" s="277">
        <f>IF(BF76&gt;0,ROUND(BF76,0),0)</f>
        <v>2289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5">
      <c r="A790" s="209" t="str">
        <f>RIGHT($C$83,3)&amp;"*"&amp;RIGHT($C$82,4)&amp;"*"&amp;BG$55&amp;"*"&amp;"A"</f>
        <v>197*2020*8470*A</v>
      </c>
      <c r="B790" s="277"/>
      <c r="C790" s="279">
        <f>ROUND(BG60,2)</f>
        <v>2.38</v>
      </c>
      <c r="D790" s="277">
        <f>ROUND(BG61,0)</f>
        <v>91966</v>
      </c>
      <c r="E790" s="277">
        <f>ROUND(BG62,0)</f>
        <v>16898</v>
      </c>
      <c r="F790" s="277">
        <f>ROUND(BG63,0)</f>
        <v>0</v>
      </c>
      <c r="G790" s="277">
        <f>ROUND(BG64,0)</f>
        <v>7</v>
      </c>
      <c r="H790" s="277">
        <f>ROUND(BG65,0)</f>
        <v>235604</v>
      </c>
      <c r="I790" s="277">
        <f>ROUND(BG66,0)</f>
        <v>3104</v>
      </c>
      <c r="J790" s="277">
        <f>ROUND(BG67,0)</f>
        <v>12793</v>
      </c>
      <c r="K790" s="277">
        <f>ROUND(BG68,0)</f>
        <v>0</v>
      </c>
      <c r="L790" s="277">
        <f>ROUND(BG69,0)</f>
        <v>0</v>
      </c>
      <c r="M790" s="277">
        <f>ROUND(BG70,0)</f>
        <v>0</v>
      </c>
      <c r="N790" s="277"/>
      <c r="O790" s="277"/>
      <c r="P790" s="277">
        <f>IF(BG76&gt;0,ROUND(BG76,0),0)</f>
        <v>337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5">
      <c r="A791" s="209" t="str">
        <f>RIGHT($C$83,3)&amp;"*"&amp;RIGHT($C$82,4)&amp;"*"&amp;BH$55&amp;"*"&amp;"A"</f>
        <v>197*2020*8480*A</v>
      </c>
      <c r="B791" s="277"/>
      <c r="C791" s="279">
        <f>ROUND(BH60,2)</f>
        <v>4.91</v>
      </c>
      <c r="D791" s="277">
        <f>ROUND(BH61,0)</f>
        <v>420702</v>
      </c>
      <c r="E791" s="277">
        <f>ROUND(BH62,0)</f>
        <v>76072</v>
      </c>
      <c r="F791" s="277">
        <f>ROUND(BH63,0)</f>
        <v>0</v>
      </c>
      <c r="G791" s="277">
        <f>ROUND(BH64,0)</f>
        <v>80722</v>
      </c>
      <c r="H791" s="277">
        <f>ROUND(BH65,0)</f>
        <v>0</v>
      </c>
      <c r="I791" s="277">
        <f>ROUND(BH66,0)</f>
        <v>1828534</v>
      </c>
      <c r="J791" s="277">
        <f>ROUND(BH67,0)</f>
        <v>28547</v>
      </c>
      <c r="K791" s="277">
        <f>ROUND(BH68,0)</f>
        <v>0</v>
      </c>
      <c r="L791" s="277">
        <f>ROUND(BH69,0)</f>
        <v>313072</v>
      </c>
      <c r="M791" s="277">
        <f>ROUND(BH70,0)</f>
        <v>0</v>
      </c>
      <c r="N791" s="277"/>
      <c r="O791" s="277"/>
      <c r="P791" s="277">
        <f>IF(BH76&gt;0,ROUND(BH76,0),0)</f>
        <v>752</v>
      </c>
      <c r="Q791" s="277">
        <f>IF(BH77&gt;0,ROUND(BH77,0),0)</f>
        <v>0</v>
      </c>
      <c r="R791" s="277">
        <f>IF(BH78&gt;0,ROUND(BH78,0),0)</f>
        <v>192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5">
      <c r="A792" s="209" t="str">
        <f>RIGHT($C$83,3)&amp;"*"&amp;RIGHT($C$82,4)&amp;"*"&amp;BI$55&amp;"*"&amp;"A"</f>
        <v>197*2020*8490*A</v>
      </c>
      <c r="B792" s="277"/>
      <c r="C792" s="279">
        <f>ROUND(BI60,2)</f>
        <v>0</v>
      </c>
      <c r="D792" s="277">
        <f>ROUND(BI61,0)</f>
        <v>0</v>
      </c>
      <c r="E792" s="277">
        <f>ROUND(BI62,0)</f>
        <v>0</v>
      </c>
      <c r="F792" s="277">
        <f>ROUND(BI63,0)</f>
        <v>0</v>
      </c>
      <c r="G792" s="277">
        <f>ROUND(BI64,0)</f>
        <v>0</v>
      </c>
      <c r="H792" s="277">
        <f>ROUND(BI65,0)</f>
        <v>0</v>
      </c>
      <c r="I792" s="277">
        <f>ROUND(BI66,0)</f>
        <v>0</v>
      </c>
      <c r="J792" s="277">
        <f>ROUND(BI67,0)</f>
        <v>0</v>
      </c>
      <c r="K792" s="277">
        <f>ROUND(BI68,0)</f>
        <v>0</v>
      </c>
      <c r="L792" s="277">
        <f>ROUND(BI69,0)</f>
        <v>0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5">
      <c r="A793" s="209" t="str">
        <f>RIGHT($C$83,3)&amp;"*"&amp;RIGHT($C$82,4)&amp;"*"&amp;BJ$55&amp;"*"&amp;"A"</f>
        <v>197*2020*8510*A</v>
      </c>
      <c r="B793" s="277"/>
      <c r="C793" s="279">
        <f>ROUND(BJ60,2)</f>
        <v>3.76</v>
      </c>
      <c r="D793" s="277">
        <f>ROUND(BJ61,0)</f>
        <v>228222</v>
      </c>
      <c r="E793" s="277">
        <f>ROUND(BJ62,0)</f>
        <v>39938</v>
      </c>
      <c r="F793" s="277">
        <f>ROUND(BJ63,0)</f>
        <v>0</v>
      </c>
      <c r="G793" s="277">
        <f>ROUND(BJ64,0)</f>
        <v>4516</v>
      </c>
      <c r="H793" s="277">
        <f>ROUND(BJ65,0)</f>
        <v>0</v>
      </c>
      <c r="I793" s="277">
        <f>ROUND(BJ66,0)</f>
        <v>5000</v>
      </c>
      <c r="J793" s="277">
        <f>ROUND(BJ67,0)</f>
        <v>62066</v>
      </c>
      <c r="K793" s="277">
        <f>ROUND(BJ68,0)</f>
        <v>30</v>
      </c>
      <c r="L793" s="277">
        <f>ROUND(BJ69,0)</f>
        <v>76925</v>
      </c>
      <c r="M793" s="277">
        <f>ROUND(BJ70,0)</f>
        <v>0</v>
      </c>
      <c r="N793" s="277"/>
      <c r="O793" s="277"/>
      <c r="P793" s="277">
        <f>IF(BJ76&gt;0,ROUND(BJ76,0),0)</f>
        <v>1635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5">
      <c r="A794" s="209" t="str">
        <f>RIGHT($C$83,3)&amp;"*"&amp;RIGHT($C$82,4)&amp;"*"&amp;BK$55&amp;"*"&amp;"A"</f>
        <v>197*2020*8530*A</v>
      </c>
      <c r="B794" s="277"/>
      <c r="C794" s="279">
        <f>ROUND(BK60,2)</f>
        <v>0</v>
      </c>
      <c r="D794" s="277">
        <f>ROUND(BK61,0)</f>
        <v>0</v>
      </c>
      <c r="E794" s="277">
        <f>ROUND(BK62,0)</f>
        <v>0</v>
      </c>
      <c r="F794" s="277">
        <f>ROUND(BK63,0)</f>
        <v>0</v>
      </c>
      <c r="G794" s="277">
        <f>ROUND(BK64,0)</f>
        <v>0</v>
      </c>
      <c r="H794" s="277">
        <f>ROUND(BK65,0)</f>
        <v>0</v>
      </c>
      <c r="I794" s="277">
        <f>ROUND(BK66,0)</f>
        <v>1769837</v>
      </c>
      <c r="J794" s="277">
        <f>ROUND(BK67,0)</f>
        <v>0</v>
      </c>
      <c r="K794" s="277">
        <f>ROUND(BK68,0)</f>
        <v>0</v>
      </c>
      <c r="L794" s="277">
        <f>ROUND(BK69,0)</f>
        <v>-2</v>
      </c>
      <c r="M794" s="277">
        <f>ROUND(BK70,0)</f>
        <v>0</v>
      </c>
      <c r="N794" s="277"/>
      <c r="O794" s="277"/>
      <c r="P794" s="277">
        <f>IF(BK76&gt;0,ROUND(BK76,0),0)</f>
        <v>0</v>
      </c>
      <c r="Q794" s="277">
        <f>IF(BK77&gt;0,ROUND(BK77,0),0)</f>
        <v>0</v>
      </c>
      <c r="R794" s="277">
        <f>IF(BK78&gt;0,ROUND(BK78,0),0)</f>
        <v>0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5">
      <c r="A795" s="209" t="str">
        <f>RIGHT($C$83,3)&amp;"*"&amp;RIGHT($C$82,4)&amp;"*"&amp;BL$55&amp;"*"&amp;"A"</f>
        <v>197*2020*8560*A</v>
      </c>
      <c r="B795" s="277"/>
      <c r="C795" s="279">
        <f>ROUND(BL60,2)</f>
        <v>18.87</v>
      </c>
      <c r="D795" s="277">
        <f>ROUND(BL61,0)</f>
        <v>916985</v>
      </c>
      <c r="E795" s="277">
        <f>ROUND(BL62,0)</f>
        <v>166375</v>
      </c>
      <c r="F795" s="277">
        <f>ROUND(BL63,0)</f>
        <v>0</v>
      </c>
      <c r="G795" s="277">
        <f>ROUND(BL64,0)</f>
        <v>20384</v>
      </c>
      <c r="H795" s="277">
        <f>ROUND(BL65,0)</f>
        <v>0</v>
      </c>
      <c r="I795" s="277">
        <f>ROUND(BL66,0)</f>
        <v>48202</v>
      </c>
      <c r="J795" s="277">
        <f>ROUND(BL67,0)</f>
        <v>68368</v>
      </c>
      <c r="K795" s="277">
        <f>ROUND(BL68,0)</f>
        <v>0</v>
      </c>
      <c r="L795" s="277">
        <f>ROUND(BL69,0)</f>
        <v>286343</v>
      </c>
      <c r="M795" s="277">
        <f>ROUND(BL70,0)</f>
        <v>0</v>
      </c>
      <c r="N795" s="277"/>
      <c r="O795" s="277"/>
      <c r="P795" s="277">
        <f>IF(BL76&gt;0,ROUND(BL76,0),0)</f>
        <v>1801</v>
      </c>
      <c r="Q795" s="277">
        <f>IF(BL77&gt;0,ROUND(BL77,0),0)</f>
        <v>0</v>
      </c>
      <c r="R795" s="277">
        <f>IF(BL78&gt;0,ROUND(BL78,0),0)</f>
        <v>459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5">
      <c r="A796" s="209" t="str">
        <f>RIGHT($C$83,3)&amp;"*"&amp;RIGHT($C$82,4)&amp;"*"&amp;BM$55&amp;"*"&amp;"A"</f>
        <v>197*2020*8590*A</v>
      </c>
      <c r="B796" s="277"/>
      <c r="C796" s="279">
        <f>ROUND(BM60,2)</f>
        <v>0</v>
      </c>
      <c r="D796" s="277">
        <f>ROUND(BM61,0)</f>
        <v>0</v>
      </c>
      <c r="E796" s="277">
        <f>ROUND(BM62,0)</f>
        <v>0</v>
      </c>
      <c r="F796" s="277">
        <f>ROUND(BM63,0)</f>
        <v>0</v>
      </c>
      <c r="G796" s="277">
        <f>ROUND(BM64,0)</f>
        <v>0</v>
      </c>
      <c r="H796" s="277">
        <f>ROUND(BM65,0)</f>
        <v>0</v>
      </c>
      <c r="I796" s="277">
        <f>ROUND(BM66,0)</f>
        <v>0</v>
      </c>
      <c r="J796" s="277">
        <f>ROUND(BM67,0)</f>
        <v>0</v>
      </c>
      <c r="K796" s="277">
        <f>ROUND(BM68,0)</f>
        <v>0</v>
      </c>
      <c r="L796" s="277">
        <f>ROUND(BM69,0)</f>
        <v>0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5">
      <c r="A797" s="209" t="str">
        <f>RIGHT($C$83,3)&amp;"*"&amp;RIGHT($C$82,4)&amp;"*"&amp;BN$55&amp;"*"&amp;"A"</f>
        <v>197*2020*8610*A</v>
      </c>
      <c r="B797" s="277"/>
      <c r="C797" s="279">
        <f>ROUND(BN60,2)</f>
        <v>8.64</v>
      </c>
      <c r="D797" s="277">
        <f>ROUND(BN61,0)</f>
        <v>2247739</v>
      </c>
      <c r="E797" s="277">
        <f>ROUND(BN62,0)</f>
        <v>278815</v>
      </c>
      <c r="F797" s="277">
        <f>ROUND(BN63,0)</f>
        <v>0</v>
      </c>
      <c r="G797" s="277">
        <f>ROUND(BN64,0)</f>
        <v>11835</v>
      </c>
      <c r="H797" s="277">
        <f>ROUND(BN65,0)</f>
        <v>405</v>
      </c>
      <c r="I797" s="277">
        <f>ROUND(BN66,0)</f>
        <v>601837</v>
      </c>
      <c r="J797" s="277">
        <f>ROUND(BN67,0)</f>
        <v>147099</v>
      </c>
      <c r="K797" s="277">
        <f>ROUND(BN68,0)</f>
        <v>450787</v>
      </c>
      <c r="L797" s="277">
        <f>ROUND(BN69,0)</f>
        <v>3151513</v>
      </c>
      <c r="M797" s="277">
        <f>ROUND(BN70,0)</f>
        <v>0</v>
      </c>
      <c r="N797" s="277"/>
      <c r="O797" s="277"/>
      <c r="P797" s="277">
        <f>IF(BN76&gt;0,ROUND(BN76,0),0)</f>
        <v>3875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5">
      <c r="A798" s="209" t="str">
        <f>RIGHT($C$83,3)&amp;"*"&amp;RIGHT($C$82,4)&amp;"*"&amp;BO$55&amp;"*"&amp;"A"</f>
        <v>197*2020*8620*A</v>
      </c>
      <c r="B798" s="277"/>
      <c r="C798" s="279">
        <f>ROUND(BO60,2)</f>
        <v>0</v>
      </c>
      <c r="D798" s="277">
        <f>ROUND(BO61,0)</f>
        <v>0</v>
      </c>
      <c r="E798" s="277">
        <f>ROUND(BO62,0)</f>
        <v>0</v>
      </c>
      <c r="F798" s="277">
        <f>ROUND(BO63,0)</f>
        <v>0</v>
      </c>
      <c r="G798" s="277">
        <f>ROUND(BO64,0)</f>
        <v>0</v>
      </c>
      <c r="H798" s="277">
        <f>ROUND(BO65,0)</f>
        <v>0</v>
      </c>
      <c r="I798" s="277">
        <f>ROUND(BO66,0)</f>
        <v>0</v>
      </c>
      <c r="J798" s="277">
        <f>ROUND(BO67,0)</f>
        <v>0</v>
      </c>
      <c r="K798" s="277">
        <f>ROUND(BO68,0)</f>
        <v>0</v>
      </c>
      <c r="L798" s="277">
        <f>ROUND(BO69,0)</f>
        <v>0</v>
      </c>
      <c r="M798" s="277">
        <f>ROUND(BO70,0)</f>
        <v>0</v>
      </c>
      <c r="N798" s="277"/>
      <c r="O798" s="277"/>
      <c r="P798" s="277">
        <f>IF(BO76&gt;0,ROUND(BO76,0),0)</f>
        <v>0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5">
      <c r="A799" s="209" t="str">
        <f>RIGHT($C$83,3)&amp;"*"&amp;RIGHT($C$82,4)&amp;"*"&amp;BP$55&amp;"*"&amp;"A"</f>
        <v>197*2020*8630*A</v>
      </c>
      <c r="B799" s="277"/>
      <c r="C799" s="279">
        <f>ROUND(BP60,2)</f>
        <v>0.76</v>
      </c>
      <c r="D799" s="277">
        <f>ROUND(BP61,0)</f>
        <v>48166</v>
      </c>
      <c r="E799" s="277">
        <f>ROUND(BP62,0)</f>
        <v>8796</v>
      </c>
      <c r="F799" s="277">
        <f>ROUND(BP63,0)</f>
        <v>0</v>
      </c>
      <c r="G799" s="277">
        <f>ROUND(BP64,0)</f>
        <v>13964</v>
      </c>
      <c r="H799" s="277">
        <f>ROUND(BP65,0)</f>
        <v>0</v>
      </c>
      <c r="I799" s="277">
        <f>ROUND(BP66,0)</f>
        <v>20803</v>
      </c>
      <c r="J799" s="277">
        <f>ROUND(BP67,0)</f>
        <v>27674</v>
      </c>
      <c r="K799" s="277">
        <f>ROUND(BP68,0)</f>
        <v>0</v>
      </c>
      <c r="L799" s="277">
        <f>ROUND(BP69,0)</f>
        <v>123520</v>
      </c>
      <c r="M799" s="277">
        <f>ROUND(BP70,0)</f>
        <v>0</v>
      </c>
      <c r="N799" s="277"/>
      <c r="O799" s="277"/>
      <c r="P799" s="277">
        <f>IF(BP76&gt;0,ROUND(BP76,0),0)</f>
        <v>729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5">
      <c r="A800" s="209" t="str">
        <f>RIGHT($C$83,3)&amp;"*"&amp;RIGHT($C$82,4)&amp;"*"&amp;BQ$55&amp;"*"&amp;"A"</f>
        <v>197*2020*8640*A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5">
      <c r="A801" s="209" t="str">
        <f>RIGHT($C$83,3)&amp;"*"&amp;RIGHT($C$82,4)&amp;"*"&amp;BR$55&amp;"*"&amp;"A"</f>
        <v>197*2020*8650*A</v>
      </c>
      <c r="B801" s="277"/>
      <c r="C801" s="279">
        <f>ROUND(BR60,2)</f>
        <v>3.71</v>
      </c>
      <c r="D801" s="277">
        <f>ROUND(BR61,0)</f>
        <v>284486</v>
      </c>
      <c r="E801" s="277">
        <f>ROUND(BR62,0)</f>
        <v>50589</v>
      </c>
      <c r="F801" s="277">
        <f>ROUND(BR63,0)</f>
        <v>0</v>
      </c>
      <c r="G801" s="277">
        <f>ROUND(BR64,0)</f>
        <v>9259</v>
      </c>
      <c r="H801" s="277">
        <f>ROUND(BR65,0)</f>
        <v>0</v>
      </c>
      <c r="I801" s="277">
        <f>ROUND(BR66,0)</f>
        <v>171037</v>
      </c>
      <c r="J801" s="277">
        <f>ROUND(BR67,0)</f>
        <v>38454</v>
      </c>
      <c r="K801" s="277">
        <f>ROUND(BR68,0)</f>
        <v>17</v>
      </c>
      <c r="L801" s="277">
        <f>ROUND(BR69,0)</f>
        <v>202585</v>
      </c>
      <c r="M801" s="277">
        <f>ROUND(BR70,0)</f>
        <v>0</v>
      </c>
      <c r="N801" s="277"/>
      <c r="O801" s="277"/>
      <c r="P801" s="277">
        <f>IF(BR76&gt;0,ROUND(BR76,0),0)</f>
        <v>1013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5">
      <c r="A802" s="209" t="str">
        <f>RIGHT($C$83,3)&amp;"*"&amp;RIGHT($C$82,4)&amp;"*"&amp;BS$55&amp;"*"&amp;"A"</f>
        <v>197*2020*8660*A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0</v>
      </c>
      <c r="H802" s="277">
        <f>ROUND(BS65,0)</f>
        <v>0</v>
      </c>
      <c r="I802" s="277">
        <f>ROUND(BS66,0)</f>
        <v>0</v>
      </c>
      <c r="J802" s="277">
        <f>ROUND(BS67,0)</f>
        <v>10857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286</v>
      </c>
      <c r="Q802" s="277">
        <f>IF(BS77&gt;0,ROUND(BS77,0),0)</f>
        <v>0</v>
      </c>
      <c r="R802" s="277">
        <f>IF(BS78&gt;0,ROUND(BS78,0),0)</f>
        <v>73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5">
      <c r="A803" s="209" t="str">
        <f>RIGHT($C$83,3)&amp;"*"&amp;RIGHT($C$82,4)&amp;"*"&amp;BT$55&amp;"*"&amp;"A"</f>
        <v>197*2020*8670*A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0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5">
      <c r="A804" s="209" t="str">
        <f>RIGHT($C$83,3)&amp;"*"&amp;RIGHT($C$82,4)&amp;"*"&amp;BU$55&amp;"*"&amp;"A"</f>
        <v>197*2020*8680*A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127359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3355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5">
      <c r="A805" s="209" t="str">
        <f>RIGHT($C$83,3)&amp;"*"&amp;RIGHT($C$82,4)&amp;"*"&amp;BV$55&amp;"*"&amp;"A"</f>
        <v>197*2020*8690*A</v>
      </c>
      <c r="B805" s="277"/>
      <c r="C805" s="279">
        <f>ROUND(BV60,2)</f>
        <v>10.24</v>
      </c>
      <c r="D805" s="277">
        <f>ROUND(BV61,0)</f>
        <v>604878</v>
      </c>
      <c r="E805" s="277">
        <f>ROUND(BV62,0)</f>
        <v>107162</v>
      </c>
      <c r="F805" s="277">
        <f>ROUND(BV63,0)</f>
        <v>0</v>
      </c>
      <c r="G805" s="277">
        <f>ROUND(BV64,0)</f>
        <v>10278</v>
      </c>
      <c r="H805" s="277">
        <f>ROUND(BV65,0)</f>
        <v>0</v>
      </c>
      <c r="I805" s="277">
        <f>ROUND(BV66,0)</f>
        <v>170066</v>
      </c>
      <c r="J805" s="277">
        <f>ROUND(BV67,0)</f>
        <v>0</v>
      </c>
      <c r="K805" s="277">
        <f>ROUND(BV68,0)</f>
        <v>55510</v>
      </c>
      <c r="L805" s="277">
        <f>ROUND(BV69,0)</f>
        <v>4133</v>
      </c>
      <c r="M805" s="277">
        <f>ROUND(BV70,0)</f>
        <v>0</v>
      </c>
      <c r="N805" s="277"/>
      <c r="O805" s="277"/>
      <c r="P805" s="277">
        <f>IF(BV76&gt;0,ROUND(BV76,0),0)</f>
        <v>0</v>
      </c>
      <c r="Q805" s="277">
        <f>IF(BV77&gt;0,ROUND(BV77,0),0)</f>
        <v>0</v>
      </c>
      <c r="R805" s="277">
        <f>IF(BV78&gt;0,ROUND(BV78,0),0)</f>
        <v>855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5">
      <c r="A806" s="209" t="str">
        <f>RIGHT($C$83,3)&amp;"*"&amp;RIGHT($C$82,4)&amp;"*"&amp;BW$55&amp;"*"&amp;"A"</f>
        <v>197*2020*8700*A</v>
      </c>
      <c r="B806" s="277"/>
      <c r="C806" s="279">
        <f>ROUND(BW60,2)</f>
        <v>1.18</v>
      </c>
      <c r="D806" s="277">
        <f>ROUND(BW61,0)</f>
        <v>103558</v>
      </c>
      <c r="E806" s="277">
        <f>ROUND(BW62,0)</f>
        <v>18878</v>
      </c>
      <c r="F806" s="277">
        <f>ROUND(BW63,0)</f>
        <v>0</v>
      </c>
      <c r="G806" s="277">
        <f>ROUND(BW64,0)</f>
        <v>1324</v>
      </c>
      <c r="H806" s="277">
        <f>ROUND(BW65,0)</f>
        <v>0</v>
      </c>
      <c r="I806" s="277">
        <f>ROUND(BW66,0)</f>
        <v>67054</v>
      </c>
      <c r="J806" s="277">
        <f>ROUND(BW67,0)</f>
        <v>0</v>
      </c>
      <c r="K806" s="277">
        <f>ROUND(BW68,0)</f>
        <v>506</v>
      </c>
      <c r="L806" s="277">
        <f>ROUND(BW69,0)</f>
        <v>4001</v>
      </c>
      <c r="M806" s="277">
        <f>ROUND(BW70,0)</f>
        <v>0</v>
      </c>
      <c r="N806" s="277"/>
      <c r="O806" s="277"/>
      <c r="P806" s="277">
        <f>IF(BW76&gt;0,ROUND(BW76,0),0)</f>
        <v>0</v>
      </c>
      <c r="Q806" s="277">
        <f>IF(BW77&gt;0,ROUND(BW77,0),0)</f>
        <v>0</v>
      </c>
      <c r="R806" s="277">
        <f>IF(BW78&gt;0,ROUND(BW78,0),0)</f>
        <v>0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5">
      <c r="A807" s="209" t="str">
        <f>RIGHT($C$83,3)&amp;"*"&amp;RIGHT($C$82,4)&amp;"*"&amp;BX$55&amp;"*"&amp;"A"</f>
        <v>197*2020*8710*A</v>
      </c>
      <c r="B807" s="277"/>
      <c r="C807" s="279">
        <f>ROUND(BX60,2)</f>
        <v>2.1</v>
      </c>
      <c r="D807" s="277">
        <f>ROUND(BX61,0)</f>
        <v>205165</v>
      </c>
      <c r="E807" s="277">
        <f>ROUND(BX62,0)</f>
        <v>36881</v>
      </c>
      <c r="F807" s="277">
        <f>ROUND(BX63,0)</f>
        <v>44738</v>
      </c>
      <c r="G807" s="277">
        <f>ROUND(BX64,0)</f>
        <v>8820</v>
      </c>
      <c r="H807" s="277">
        <f>ROUND(BX65,0)</f>
        <v>0</v>
      </c>
      <c r="I807" s="277">
        <f>ROUND(BX66,0)</f>
        <v>220833</v>
      </c>
      <c r="J807" s="277">
        <f>ROUND(BX67,0)</f>
        <v>3151</v>
      </c>
      <c r="K807" s="277">
        <f>ROUND(BX68,0)</f>
        <v>0</v>
      </c>
      <c r="L807" s="277">
        <f>ROUND(BX69,0)</f>
        <v>101578</v>
      </c>
      <c r="M807" s="277">
        <f>ROUND(BX70,0)</f>
        <v>0</v>
      </c>
      <c r="N807" s="277"/>
      <c r="O807" s="277"/>
      <c r="P807" s="277">
        <f>IF(BX76&gt;0,ROUND(BX76,0),0)</f>
        <v>83</v>
      </c>
      <c r="Q807" s="277">
        <f>IF(BX77&gt;0,ROUND(BX77,0),0)</f>
        <v>0</v>
      </c>
      <c r="R807" s="277">
        <f>IF(BX78&gt;0,ROUND(BX78,0),0)</f>
        <v>21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5">
      <c r="A808" s="209" t="str">
        <f>RIGHT($C$83,3)&amp;"*"&amp;RIGHT($C$82,4)&amp;"*"&amp;BY$55&amp;"*"&amp;"A"</f>
        <v>197*2020*8720*A</v>
      </c>
      <c r="B808" s="277"/>
      <c r="C808" s="279">
        <f>ROUND(BY60,2)</f>
        <v>9.2899999999999991</v>
      </c>
      <c r="D808" s="277">
        <f>ROUND(BY61,0)</f>
        <v>1081799</v>
      </c>
      <c r="E808" s="277">
        <f>ROUND(BY62,0)</f>
        <v>196294</v>
      </c>
      <c r="F808" s="277">
        <f>ROUND(BY63,0)</f>
        <v>0</v>
      </c>
      <c r="G808" s="277">
        <f>ROUND(BY64,0)</f>
        <v>2562</v>
      </c>
      <c r="H808" s="277">
        <f>ROUND(BY65,0)</f>
        <v>0</v>
      </c>
      <c r="I808" s="277">
        <f>ROUND(BY66,0)</f>
        <v>450</v>
      </c>
      <c r="J808" s="277">
        <f>ROUND(BY67,0)</f>
        <v>44225</v>
      </c>
      <c r="K808" s="277">
        <f>ROUND(BY68,0)</f>
        <v>672</v>
      </c>
      <c r="L808" s="277">
        <f>ROUND(BY69,0)</f>
        <v>10686</v>
      </c>
      <c r="M808" s="277">
        <f>ROUND(BY70,0)</f>
        <v>0</v>
      </c>
      <c r="N808" s="277"/>
      <c r="O808" s="277"/>
      <c r="P808" s="277">
        <f>IF(BY76&gt;0,ROUND(BY76,0),0)</f>
        <v>1165</v>
      </c>
      <c r="Q808" s="277">
        <f>IF(BY77&gt;0,ROUND(BY77,0),0)</f>
        <v>0</v>
      </c>
      <c r="R808" s="277">
        <f>IF(BY78&gt;0,ROUND(BY78,0),0)</f>
        <v>297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5">
      <c r="A809" s="209" t="str">
        <f>RIGHT($C$83,3)&amp;"*"&amp;RIGHT($C$82,4)&amp;"*"&amp;BZ$55&amp;"*"&amp;"A"</f>
        <v>197*2020*8730*A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5">
      <c r="A810" s="209" t="str">
        <f>RIGHT($C$83,3)&amp;"*"&amp;RIGHT($C$82,4)&amp;"*"&amp;CA$55&amp;"*"&amp;"A"</f>
        <v>197*2020*8740*A</v>
      </c>
      <c r="B810" s="277"/>
      <c r="C810" s="279">
        <f>ROUND(CA60,2)</f>
        <v>1.39</v>
      </c>
      <c r="D810" s="277">
        <f>ROUND(CA61,0)</f>
        <v>164569</v>
      </c>
      <c r="E810" s="277">
        <f>ROUND(CA62,0)</f>
        <v>29909</v>
      </c>
      <c r="F810" s="277">
        <f>ROUND(CA63,0)</f>
        <v>0</v>
      </c>
      <c r="G810" s="277">
        <f>ROUND(CA64,0)</f>
        <v>431</v>
      </c>
      <c r="H810" s="277">
        <f>ROUND(CA65,0)</f>
        <v>0</v>
      </c>
      <c r="I810" s="277">
        <f>ROUND(CA66,0)</f>
        <v>0</v>
      </c>
      <c r="J810" s="277">
        <f>ROUND(CA67,0)</f>
        <v>84995</v>
      </c>
      <c r="K810" s="277">
        <f>ROUND(CA68,0)</f>
        <v>0</v>
      </c>
      <c r="L810" s="277">
        <f>ROUND(CA69,0)</f>
        <v>1782</v>
      </c>
      <c r="M810" s="277">
        <f>ROUND(CA70,0)</f>
        <v>0</v>
      </c>
      <c r="N810" s="277"/>
      <c r="O810" s="277"/>
      <c r="P810" s="277">
        <f>IF(CA76&gt;0,ROUND(CA76,0),0)</f>
        <v>2239</v>
      </c>
      <c r="Q810" s="277">
        <f>IF(CA77&gt;0,ROUND(CA77,0),0)</f>
        <v>0</v>
      </c>
      <c r="R810" s="277">
        <f>IF(CA78&gt;0,ROUND(CA78,0),0)</f>
        <v>571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5">
      <c r="A811" s="209" t="str">
        <f>RIGHT($C$83,3)&amp;"*"&amp;RIGHT($C$82,4)&amp;"*"&amp;CB$55&amp;"*"&amp;"A"</f>
        <v>197*2020*8770*A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5">
      <c r="A812" s="209" t="str">
        <f>RIGHT($C$83,3)&amp;"*"&amp;RIGHT($C$82,4)&amp;"*"&amp;CC$55&amp;"*"&amp;"A"</f>
        <v>197*2020*8790*A</v>
      </c>
      <c r="B812" s="277"/>
      <c r="C812" s="279">
        <f>ROUND(CC60,2)</f>
        <v>0</v>
      </c>
      <c r="D812" s="277">
        <f>ROUND(CC61,0)</f>
        <v>0</v>
      </c>
      <c r="E812" s="277">
        <f>ROUND(CC62,0)</f>
        <v>0</v>
      </c>
      <c r="F812" s="277">
        <f>ROUND(CC63,0)</f>
        <v>0</v>
      </c>
      <c r="G812" s="277">
        <f>ROUND(CC64,0)</f>
        <v>0</v>
      </c>
      <c r="H812" s="277">
        <f>ROUND(CC65,0)</f>
        <v>0</v>
      </c>
      <c r="I812" s="277">
        <f>ROUND(CC66,0)</f>
        <v>0</v>
      </c>
      <c r="J812" s="277">
        <f>ROUND(CC67,0)</f>
        <v>0</v>
      </c>
      <c r="K812" s="277">
        <f>ROUND(CC68,0)</f>
        <v>0</v>
      </c>
      <c r="L812" s="277">
        <f>ROUND(CC69,0)</f>
        <v>0</v>
      </c>
      <c r="M812" s="277">
        <f>ROUND(CC70,0)</f>
        <v>0</v>
      </c>
      <c r="N812" s="277"/>
      <c r="O812" s="277"/>
      <c r="P812" s="277">
        <f>IF(CC76&gt;0,ROUND(CC76,0),0)</f>
        <v>0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5">
      <c r="A813" s="209" t="str">
        <f>RIGHT($C$83,3)&amp;"*"&amp;RIGHT($C$82,4)&amp;"*"&amp;"9000"&amp;"*"&amp;"A"</f>
        <v>197*2020*9000*A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13483429</v>
      </c>
      <c r="V813" s="278">
        <f>ROUND(CD70,0)</f>
        <v>557924</v>
      </c>
      <c r="W813" s="277">
        <f>ROUND(CE72,0)</f>
        <v>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5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5">
      <c r="B815" s="281" t="s">
        <v>1004</v>
      </c>
      <c r="C815" s="282">
        <f t="shared" ref="C815:K815" si="22">SUM(C734:C813)</f>
        <v>426.07000000000011</v>
      </c>
      <c r="D815" s="278">
        <f t="shared" si="22"/>
        <v>37106883</v>
      </c>
      <c r="E815" s="278">
        <f t="shared" si="22"/>
        <v>6548757</v>
      </c>
      <c r="F815" s="278">
        <f t="shared" si="22"/>
        <v>4805619</v>
      </c>
      <c r="G815" s="278">
        <f t="shared" si="22"/>
        <v>15014977</v>
      </c>
      <c r="H815" s="278">
        <f t="shared" si="22"/>
        <v>1157698</v>
      </c>
      <c r="I815" s="278">
        <f t="shared" si="22"/>
        <v>9602933</v>
      </c>
      <c r="J815" s="278">
        <f t="shared" si="22"/>
        <v>5898156</v>
      </c>
      <c r="K815" s="278">
        <f t="shared" si="22"/>
        <v>3187052</v>
      </c>
      <c r="L815" s="278">
        <f>SUM(L734:L813)+SUM(U734:U813)</f>
        <v>23188922</v>
      </c>
      <c r="M815" s="278">
        <f>SUM(M734:M813)+SUM(V734:V813)</f>
        <v>557924</v>
      </c>
      <c r="N815" s="278">
        <f t="shared" ref="N815:Y815" si="23">SUM(N734:N813)</f>
        <v>521165388</v>
      </c>
      <c r="O815" s="278">
        <f t="shared" si="23"/>
        <v>209402604</v>
      </c>
      <c r="P815" s="278">
        <f t="shared" si="23"/>
        <v>155374</v>
      </c>
      <c r="Q815" s="278">
        <f t="shared" si="23"/>
        <v>39776</v>
      </c>
      <c r="R815" s="278">
        <f t="shared" si="23"/>
        <v>39604</v>
      </c>
      <c r="S815" s="278">
        <f t="shared" si="23"/>
        <v>458573</v>
      </c>
      <c r="T815" s="282">
        <f t="shared" si="23"/>
        <v>358.5</v>
      </c>
      <c r="U815" s="278">
        <f t="shared" si="23"/>
        <v>13483429</v>
      </c>
      <c r="V815" s="278">
        <f t="shared" si="23"/>
        <v>557924</v>
      </c>
      <c r="W815" s="278">
        <f t="shared" si="23"/>
        <v>0</v>
      </c>
      <c r="X815" s="278">
        <f t="shared" si="23"/>
        <v>0</v>
      </c>
      <c r="Y815" s="278">
        <f t="shared" si="23"/>
        <v>48171391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5">
      <c r="B816" s="278" t="s">
        <v>1005</v>
      </c>
      <c r="C816" s="282">
        <f>CE60</f>
        <v>426.07000000000011</v>
      </c>
      <c r="D816" s="278">
        <f>CE61</f>
        <v>37106883</v>
      </c>
      <c r="E816" s="278">
        <f>CE62</f>
        <v>6548757</v>
      </c>
      <c r="F816" s="278">
        <f>CE63</f>
        <v>4805619</v>
      </c>
      <c r="G816" s="278">
        <f>CE64</f>
        <v>15014977</v>
      </c>
      <c r="H816" s="281">
        <f>CE65</f>
        <v>1157698</v>
      </c>
      <c r="I816" s="281">
        <f>CE66</f>
        <v>9602933</v>
      </c>
      <c r="J816" s="281">
        <f>CE67</f>
        <v>5898156</v>
      </c>
      <c r="K816" s="281">
        <f>CE68</f>
        <v>3187052</v>
      </c>
      <c r="L816" s="281">
        <f>CE69</f>
        <v>23188922</v>
      </c>
      <c r="M816" s="281">
        <f>CE70</f>
        <v>557924</v>
      </c>
      <c r="N816" s="278">
        <f>CE75</f>
        <v>521165388</v>
      </c>
      <c r="O816" s="278">
        <f>CE73</f>
        <v>209402604</v>
      </c>
      <c r="P816" s="278">
        <f>CE76</f>
        <v>155374</v>
      </c>
      <c r="Q816" s="278">
        <f>CE77</f>
        <v>39775.009999999995</v>
      </c>
      <c r="R816" s="278">
        <f>CE78</f>
        <v>39604</v>
      </c>
      <c r="S816" s="278">
        <f>CE79</f>
        <v>458573</v>
      </c>
      <c r="T816" s="282">
        <f>CE80</f>
        <v>358.5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48171387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37106882</v>
      </c>
      <c r="E817" s="180">
        <f>C379</f>
        <v>6548760</v>
      </c>
      <c r="F817" s="180">
        <f>C380</f>
        <v>4805620</v>
      </c>
      <c r="G817" s="241">
        <f>C381</f>
        <v>15014974</v>
      </c>
      <c r="H817" s="241">
        <f>C382</f>
        <v>1157699</v>
      </c>
      <c r="I817" s="241">
        <f>C383</f>
        <v>9602928</v>
      </c>
      <c r="J817" s="241">
        <f>C384</f>
        <v>5898153</v>
      </c>
      <c r="K817" s="241">
        <f>C385</f>
        <v>3187051</v>
      </c>
      <c r="L817" s="241">
        <f>C386+C387+C388+C389</f>
        <v>21474961</v>
      </c>
      <c r="M817" s="241">
        <f>C370</f>
        <v>557924</v>
      </c>
      <c r="N817" s="180">
        <f>D361</f>
        <v>521165380</v>
      </c>
      <c r="O817" s="180">
        <f>C359</f>
        <v>209402602</v>
      </c>
    </row>
  </sheetData>
  <sheetProtection algorithmName="SHA-512" hashValue="ZK9STb9mkFcX8w9vIqsd8F+ea/x2C90zFfY+OKVGyiHBQv+tqxWaTeUlBTIagfwkZpzxFcYKpbfMnchsYKNtsw==" saltValue="0P1EC80P1MbrldgiKCiYN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N37" transitionEvaluation="1" transitionEntry="1" codeName="Sheet10">
    <pageSetUpPr autoPageBreaks="0" fitToPage="1"/>
  </sheetPr>
  <dimension ref="A1:CF816"/>
  <sheetViews>
    <sheetView showGridLines="0" topLeftCell="A37" zoomScale="75" workbookViewId="0">
      <pane xSplit="2" topLeftCell="BN1" activePane="topRight" state="frozen"/>
      <selection activeCell="A25" sqref="A25"/>
      <selection pane="topRight" activeCell="CD69" sqref="CD6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294" t="s">
        <v>1265</v>
      </c>
      <c r="C16" s="236"/>
    </row>
    <row r="17" spans="1:7" ht="12.75" customHeight="1" x14ac:dyDescent="0.35">
      <c r="A17" s="294" t="s">
        <v>1264</v>
      </c>
      <c r="C17" s="289"/>
      <c r="F17" s="237"/>
    </row>
    <row r="18" spans="1:7" ht="12.75" customHeight="1" x14ac:dyDescent="0.35">
      <c r="A18" s="292"/>
      <c r="C18" s="236"/>
    </row>
    <row r="19" spans="1:7" ht="12.75" customHeight="1" x14ac:dyDescent="0.35">
      <c r="C19" s="236"/>
    </row>
    <row r="20" spans="1:7" ht="12.75" customHeight="1" x14ac:dyDescent="0.35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5">
      <c r="A21" s="199"/>
      <c r="C21" s="236"/>
    </row>
    <row r="22" spans="1:7" ht="12.65" customHeight="1" x14ac:dyDescent="0.35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5">
      <c r="B23" s="199"/>
      <c r="C23" s="236"/>
    </row>
    <row r="24" spans="1:7" ht="12.65" customHeight="1" x14ac:dyDescent="0.35">
      <c r="A24" s="241" t="s">
        <v>3</v>
      </c>
      <c r="C24" s="236"/>
    </row>
    <row r="25" spans="1:7" ht="12.65" customHeight="1" x14ac:dyDescent="0.35">
      <c r="A25" s="198" t="s">
        <v>1234</v>
      </c>
      <c r="C25" s="236"/>
    </row>
    <row r="26" spans="1:7" ht="12.65" customHeight="1" x14ac:dyDescent="0.35">
      <c r="A26" s="199" t="s">
        <v>4</v>
      </c>
      <c r="C26" s="236"/>
    </row>
    <row r="27" spans="1:7" ht="12.65" customHeight="1" x14ac:dyDescent="0.35">
      <c r="A27" s="198" t="s">
        <v>1235</v>
      </c>
      <c r="C27" s="236"/>
    </row>
    <row r="28" spans="1:7" ht="12.65" customHeight="1" x14ac:dyDescent="0.35">
      <c r="A28" s="199" t="s">
        <v>5</v>
      </c>
      <c r="C28" s="236"/>
    </row>
    <row r="29" spans="1:7" ht="12.65" customHeight="1" x14ac:dyDescent="0.35">
      <c r="A29" s="198"/>
      <c r="C29" s="236"/>
    </row>
    <row r="30" spans="1:7" ht="12.65" customHeight="1" x14ac:dyDescent="0.35">
      <c r="A30" s="180" t="s">
        <v>6</v>
      </c>
      <c r="C30" s="236"/>
    </row>
    <row r="31" spans="1:7" ht="12.65" customHeight="1" x14ac:dyDescent="0.35">
      <c r="A31" s="199" t="s">
        <v>7</v>
      </c>
      <c r="C31" s="236"/>
    </row>
    <row r="32" spans="1:7" ht="12.65" customHeight="1" x14ac:dyDescent="0.35">
      <c r="A32" s="199" t="s">
        <v>8</v>
      </c>
      <c r="C32" s="236"/>
    </row>
    <row r="33" spans="1:84" ht="12.65" customHeight="1" x14ac:dyDescent="0.35">
      <c r="A33" s="198" t="s">
        <v>1236</v>
      </c>
      <c r="C33" s="236"/>
    </row>
    <row r="34" spans="1:84" ht="12.65" customHeight="1" x14ac:dyDescent="0.35">
      <c r="A34" s="199" t="s">
        <v>9</v>
      </c>
      <c r="C34" s="236"/>
    </row>
    <row r="35" spans="1:84" ht="12.65" customHeight="1" x14ac:dyDescent="0.35">
      <c r="A35" s="199"/>
      <c r="C35" s="236"/>
    </row>
    <row r="36" spans="1:84" ht="12.65" customHeight="1" x14ac:dyDescent="0.35">
      <c r="A36" s="198" t="s">
        <v>1237</v>
      </c>
      <c r="C36" s="236"/>
    </row>
    <row r="37" spans="1:84" ht="12.65" customHeight="1" x14ac:dyDescent="0.35">
      <c r="A37" s="199" t="s">
        <v>1229</v>
      </c>
      <c r="C37" s="236"/>
    </row>
    <row r="38" spans="1:84" ht="12" customHeight="1" x14ac:dyDescent="0.35">
      <c r="A38" s="198"/>
      <c r="C38" s="236"/>
    </row>
    <row r="39" spans="1:84" ht="12.65" customHeight="1" x14ac:dyDescent="0.35">
      <c r="A39" s="199"/>
      <c r="C39" s="236"/>
    </row>
    <row r="40" spans="1:84" ht="12" customHeight="1" x14ac:dyDescent="0.35">
      <c r="A40" s="199"/>
      <c r="C40" s="236"/>
    </row>
    <row r="41" spans="1:84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4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4" ht="12" customHeight="1" x14ac:dyDescent="0.35">
      <c r="A43" s="199"/>
      <c r="C43" s="236"/>
      <c r="F43" s="181"/>
    </row>
    <row r="44" spans="1:84" ht="12" customHeight="1" x14ac:dyDescent="0.35">
      <c r="A44" s="297"/>
      <c r="B44" s="297"/>
      <c r="C44" s="298" t="s">
        <v>10</v>
      </c>
      <c r="D44" s="299" t="s">
        <v>11</v>
      </c>
      <c r="E44" s="299" t="s">
        <v>12</v>
      </c>
      <c r="F44" s="299" t="s">
        <v>13</v>
      </c>
      <c r="G44" s="299" t="s">
        <v>14</v>
      </c>
      <c r="H44" s="299" t="s">
        <v>15</v>
      </c>
      <c r="I44" s="299" t="s">
        <v>16</v>
      </c>
      <c r="J44" s="299" t="s">
        <v>17</v>
      </c>
      <c r="K44" s="299" t="s">
        <v>18</v>
      </c>
      <c r="L44" s="299" t="s">
        <v>19</v>
      </c>
      <c r="M44" s="299" t="s">
        <v>20</v>
      </c>
      <c r="N44" s="299" t="s">
        <v>21</v>
      </c>
      <c r="O44" s="299" t="s">
        <v>22</v>
      </c>
      <c r="P44" s="299" t="s">
        <v>23</v>
      </c>
      <c r="Q44" s="299" t="s">
        <v>24</v>
      </c>
      <c r="R44" s="299" t="s">
        <v>25</v>
      </c>
      <c r="S44" s="299" t="s">
        <v>26</v>
      </c>
      <c r="T44" s="299" t="s">
        <v>27</v>
      </c>
      <c r="U44" s="299" t="s">
        <v>28</v>
      </c>
      <c r="V44" s="299" t="s">
        <v>29</v>
      </c>
      <c r="W44" s="299" t="s">
        <v>30</v>
      </c>
      <c r="X44" s="299" t="s">
        <v>31</v>
      </c>
      <c r="Y44" s="299" t="s">
        <v>32</v>
      </c>
      <c r="Z44" s="299" t="s">
        <v>33</v>
      </c>
      <c r="AA44" s="299" t="s">
        <v>34</v>
      </c>
      <c r="AB44" s="299" t="s">
        <v>35</v>
      </c>
      <c r="AC44" s="299" t="s">
        <v>36</v>
      </c>
      <c r="AD44" s="299" t="s">
        <v>37</v>
      </c>
      <c r="AE44" s="299" t="s">
        <v>38</v>
      </c>
      <c r="AF44" s="299" t="s">
        <v>39</v>
      </c>
      <c r="AG44" s="299" t="s">
        <v>40</v>
      </c>
      <c r="AH44" s="299" t="s">
        <v>41</v>
      </c>
      <c r="AI44" s="299" t="s">
        <v>42</v>
      </c>
      <c r="AJ44" s="299" t="s">
        <v>43</v>
      </c>
      <c r="AK44" s="299" t="s">
        <v>44</v>
      </c>
      <c r="AL44" s="299" t="s">
        <v>45</v>
      </c>
      <c r="AM44" s="299" t="s">
        <v>46</v>
      </c>
      <c r="AN44" s="299" t="s">
        <v>47</v>
      </c>
      <c r="AO44" s="299" t="s">
        <v>48</v>
      </c>
      <c r="AP44" s="299" t="s">
        <v>49</v>
      </c>
      <c r="AQ44" s="299" t="s">
        <v>50</v>
      </c>
      <c r="AR44" s="299" t="s">
        <v>51</v>
      </c>
      <c r="AS44" s="299" t="s">
        <v>52</v>
      </c>
      <c r="AT44" s="299" t="s">
        <v>53</v>
      </c>
      <c r="AU44" s="299" t="s">
        <v>54</v>
      </c>
      <c r="AV44" s="299" t="s">
        <v>55</v>
      </c>
      <c r="AW44" s="299" t="s">
        <v>56</v>
      </c>
      <c r="AX44" s="299" t="s">
        <v>57</v>
      </c>
      <c r="AY44" s="299" t="s">
        <v>58</v>
      </c>
      <c r="AZ44" s="299" t="s">
        <v>59</v>
      </c>
      <c r="BA44" s="299" t="s">
        <v>60</v>
      </c>
      <c r="BB44" s="299" t="s">
        <v>61</v>
      </c>
      <c r="BC44" s="299" t="s">
        <v>62</v>
      </c>
      <c r="BD44" s="299" t="s">
        <v>63</v>
      </c>
      <c r="BE44" s="299" t="s">
        <v>64</v>
      </c>
      <c r="BF44" s="299" t="s">
        <v>65</v>
      </c>
      <c r="BG44" s="299" t="s">
        <v>66</v>
      </c>
      <c r="BH44" s="299" t="s">
        <v>67</v>
      </c>
      <c r="BI44" s="299" t="s">
        <v>68</v>
      </c>
      <c r="BJ44" s="299" t="s">
        <v>69</v>
      </c>
      <c r="BK44" s="299" t="s">
        <v>70</v>
      </c>
      <c r="BL44" s="299" t="s">
        <v>71</v>
      </c>
      <c r="BM44" s="299" t="s">
        <v>72</v>
      </c>
      <c r="BN44" s="299" t="s">
        <v>73</v>
      </c>
      <c r="BO44" s="299" t="s">
        <v>74</v>
      </c>
      <c r="BP44" s="299" t="s">
        <v>75</v>
      </c>
      <c r="BQ44" s="299" t="s">
        <v>76</v>
      </c>
      <c r="BR44" s="299" t="s">
        <v>77</v>
      </c>
      <c r="BS44" s="299" t="s">
        <v>78</v>
      </c>
      <c r="BT44" s="299" t="s">
        <v>79</v>
      </c>
      <c r="BU44" s="299" t="s">
        <v>80</v>
      </c>
      <c r="BV44" s="299" t="s">
        <v>81</v>
      </c>
      <c r="BW44" s="299" t="s">
        <v>82</v>
      </c>
      <c r="BX44" s="299" t="s">
        <v>83</v>
      </c>
      <c r="BY44" s="299" t="s">
        <v>84</v>
      </c>
      <c r="BZ44" s="299" t="s">
        <v>85</v>
      </c>
      <c r="CA44" s="299" t="s">
        <v>86</v>
      </c>
      <c r="CB44" s="299" t="s">
        <v>87</v>
      </c>
      <c r="CC44" s="299" t="s">
        <v>88</v>
      </c>
      <c r="CD44" s="299" t="s">
        <v>89</v>
      </c>
      <c r="CE44" s="299" t="s">
        <v>90</v>
      </c>
      <c r="CF44" s="2"/>
    </row>
    <row r="45" spans="1:84" ht="12" customHeight="1" x14ac:dyDescent="0.35">
      <c r="A45" s="297"/>
      <c r="B45" s="300" t="s">
        <v>91</v>
      </c>
      <c r="C45" s="298" t="s">
        <v>92</v>
      </c>
      <c r="D45" s="299" t="s">
        <v>93</v>
      </c>
      <c r="E45" s="299" t="s">
        <v>94</v>
      </c>
      <c r="F45" s="299" t="s">
        <v>95</v>
      </c>
      <c r="G45" s="299" t="s">
        <v>96</v>
      </c>
      <c r="H45" s="299" t="s">
        <v>97</v>
      </c>
      <c r="I45" s="299" t="s">
        <v>98</v>
      </c>
      <c r="J45" s="299" t="s">
        <v>99</v>
      </c>
      <c r="K45" s="299" t="s">
        <v>100</v>
      </c>
      <c r="L45" s="299" t="s">
        <v>101</v>
      </c>
      <c r="M45" s="299" t="s">
        <v>102</v>
      </c>
      <c r="N45" s="299" t="s">
        <v>103</v>
      </c>
      <c r="O45" s="299" t="s">
        <v>104</v>
      </c>
      <c r="P45" s="299" t="s">
        <v>105</v>
      </c>
      <c r="Q45" s="299" t="s">
        <v>106</v>
      </c>
      <c r="R45" s="299" t="s">
        <v>107</v>
      </c>
      <c r="S45" s="299" t="s">
        <v>108</v>
      </c>
      <c r="T45" s="299" t="s">
        <v>1194</v>
      </c>
      <c r="U45" s="299" t="s">
        <v>109</v>
      </c>
      <c r="V45" s="299" t="s">
        <v>110</v>
      </c>
      <c r="W45" s="299" t="s">
        <v>111</v>
      </c>
      <c r="X45" s="299" t="s">
        <v>112</v>
      </c>
      <c r="Y45" s="299" t="s">
        <v>113</v>
      </c>
      <c r="Z45" s="299" t="s">
        <v>113</v>
      </c>
      <c r="AA45" s="299" t="s">
        <v>114</v>
      </c>
      <c r="AB45" s="299" t="s">
        <v>115</v>
      </c>
      <c r="AC45" s="299" t="s">
        <v>116</v>
      </c>
      <c r="AD45" s="299" t="s">
        <v>117</v>
      </c>
      <c r="AE45" s="299" t="s">
        <v>96</v>
      </c>
      <c r="AF45" s="299" t="s">
        <v>97</v>
      </c>
      <c r="AG45" s="299" t="s">
        <v>118</v>
      </c>
      <c r="AH45" s="299" t="s">
        <v>119</v>
      </c>
      <c r="AI45" s="299" t="s">
        <v>120</v>
      </c>
      <c r="AJ45" s="299" t="s">
        <v>121</v>
      </c>
      <c r="AK45" s="299" t="s">
        <v>122</v>
      </c>
      <c r="AL45" s="299" t="s">
        <v>123</v>
      </c>
      <c r="AM45" s="299" t="s">
        <v>124</v>
      </c>
      <c r="AN45" s="299" t="s">
        <v>110</v>
      </c>
      <c r="AO45" s="299" t="s">
        <v>125</v>
      </c>
      <c r="AP45" s="299" t="s">
        <v>126</v>
      </c>
      <c r="AQ45" s="299" t="s">
        <v>127</v>
      </c>
      <c r="AR45" s="299" t="s">
        <v>128</v>
      </c>
      <c r="AS45" s="299" t="s">
        <v>129</v>
      </c>
      <c r="AT45" s="299" t="s">
        <v>130</v>
      </c>
      <c r="AU45" s="299" t="s">
        <v>131</v>
      </c>
      <c r="AV45" s="299" t="s">
        <v>132</v>
      </c>
      <c r="AW45" s="299" t="s">
        <v>133</v>
      </c>
      <c r="AX45" s="299" t="s">
        <v>134</v>
      </c>
      <c r="AY45" s="299" t="s">
        <v>135</v>
      </c>
      <c r="AZ45" s="299" t="s">
        <v>136</v>
      </c>
      <c r="BA45" s="299" t="s">
        <v>137</v>
      </c>
      <c r="BB45" s="299" t="s">
        <v>138</v>
      </c>
      <c r="BC45" s="299" t="s">
        <v>108</v>
      </c>
      <c r="BD45" s="299" t="s">
        <v>139</v>
      </c>
      <c r="BE45" s="299" t="s">
        <v>140</v>
      </c>
      <c r="BF45" s="299" t="s">
        <v>141</v>
      </c>
      <c r="BG45" s="299" t="s">
        <v>142</v>
      </c>
      <c r="BH45" s="299" t="s">
        <v>143</v>
      </c>
      <c r="BI45" s="299" t="s">
        <v>144</v>
      </c>
      <c r="BJ45" s="299" t="s">
        <v>145</v>
      </c>
      <c r="BK45" s="299" t="s">
        <v>146</v>
      </c>
      <c r="BL45" s="299" t="s">
        <v>147</v>
      </c>
      <c r="BM45" s="299" t="s">
        <v>132</v>
      </c>
      <c r="BN45" s="299" t="s">
        <v>148</v>
      </c>
      <c r="BO45" s="299" t="s">
        <v>149</v>
      </c>
      <c r="BP45" s="299" t="s">
        <v>150</v>
      </c>
      <c r="BQ45" s="299" t="s">
        <v>151</v>
      </c>
      <c r="BR45" s="299" t="s">
        <v>152</v>
      </c>
      <c r="BS45" s="299" t="s">
        <v>153</v>
      </c>
      <c r="BT45" s="299" t="s">
        <v>154</v>
      </c>
      <c r="BU45" s="299" t="s">
        <v>155</v>
      </c>
      <c r="BV45" s="299" t="s">
        <v>155</v>
      </c>
      <c r="BW45" s="299" t="s">
        <v>155</v>
      </c>
      <c r="BX45" s="299" t="s">
        <v>156</v>
      </c>
      <c r="BY45" s="299" t="s">
        <v>157</v>
      </c>
      <c r="BZ45" s="299" t="s">
        <v>158</v>
      </c>
      <c r="CA45" s="299" t="s">
        <v>159</v>
      </c>
      <c r="CB45" s="299" t="s">
        <v>160</v>
      </c>
      <c r="CC45" s="299" t="s">
        <v>132</v>
      </c>
      <c r="CD45" s="299"/>
      <c r="CE45" s="299" t="s">
        <v>161</v>
      </c>
      <c r="CF45" s="2"/>
    </row>
    <row r="46" spans="1:84" ht="12.65" customHeight="1" x14ac:dyDescent="0.35">
      <c r="A46" s="297" t="s">
        <v>3</v>
      </c>
      <c r="B46" s="299" t="s">
        <v>162</v>
      </c>
      <c r="C46" s="298" t="s">
        <v>163</v>
      </c>
      <c r="D46" s="299" t="s">
        <v>163</v>
      </c>
      <c r="E46" s="299" t="s">
        <v>163</v>
      </c>
      <c r="F46" s="299" t="s">
        <v>164</v>
      </c>
      <c r="G46" s="299" t="s">
        <v>165</v>
      </c>
      <c r="H46" s="299" t="s">
        <v>163</v>
      </c>
      <c r="I46" s="299" t="s">
        <v>166</v>
      </c>
      <c r="J46" s="299"/>
      <c r="K46" s="299" t="s">
        <v>157</v>
      </c>
      <c r="L46" s="299" t="s">
        <v>167</v>
      </c>
      <c r="M46" s="299" t="s">
        <v>168</v>
      </c>
      <c r="N46" s="299" t="s">
        <v>169</v>
      </c>
      <c r="O46" s="299" t="s">
        <v>170</v>
      </c>
      <c r="P46" s="299" t="s">
        <v>169</v>
      </c>
      <c r="Q46" s="299" t="s">
        <v>171</v>
      </c>
      <c r="R46" s="299"/>
      <c r="S46" s="299" t="s">
        <v>169</v>
      </c>
      <c r="T46" s="299" t="s">
        <v>172</v>
      </c>
      <c r="U46" s="299"/>
      <c r="V46" s="299" t="s">
        <v>173</v>
      </c>
      <c r="W46" s="299" t="s">
        <v>174</v>
      </c>
      <c r="X46" s="299" t="s">
        <v>175</v>
      </c>
      <c r="Y46" s="299" t="s">
        <v>176</v>
      </c>
      <c r="Z46" s="299" t="s">
        <v>177</v>
      </c>
      <c r="AA46" s="299" t="s">
        <v>178</v>
      </c>
      <c r="AB46" s="299"/>
      <c r="AC46" s="299" t="s">
        <v>172</v>
      </c>
      <c r="AD46" s="299"/>
      <c r="AE46" s="299" t="s">
        <v>172</v>
      </c>
      <c r="AF46" s="299" t="s">
        <v>179</v>
      </c>
      <c r="AG46" s="299" t="s">
        <v>171</v>
      </c>
      <c r="AH46" s="299"/>
      <c r="AI46" s="299" t="s">
        <v>180</v>
      </c>
      <c r="AJ46" s="299"/>
      <c r="AK46" s="299" t="s">
        <v>172</v>
      </c>
      <c r="AL46" s="299" t="s">
        <v>172</v>
      </c>
      <c r="AM46" s="299" t="s">
        <v>172</v>
      </c>
      <c r="AN46" s="299" t="s">
        <v>181</v>
      </c>
      <c r="AO46" s="299" t="s">
        <v>182</v>
      </c>
      <c r="AP46" s="299" t="s">
        <v>121</v>
      </c>
      <c r="AQ46" s="299" t="s">
        <v>183</v>
      </c>
      <c r="AR46" s="299" t="s">
        <v>169</v>
      </c>
      <c r="AS46" s="299"/>
      <c r="AT46" s="299" t="s">
        <v>184</v>
      </c>
      <c r="AU46" s="299" t="s">
        <v>185</v>
      </c>
      <c r="AV46" s="299" t="s">
        <v>186</v>
      </c>
      <c r="AW46" s="299" t="s">
        <v>187</v>
      </c>
      <c r="AX46" s="299" t="s">
        <v>188</v>
      </c>
      <c r="AY46" s="299"/>
      <c r="AZ46" s="299"/>
      <c r="BA46" s="299" t="s">
        <v>189</v>
      </c>
      <c r="BB46" s="299" t="s">
        <v>169</v>
      </c>
      <c r="BC46" s="299" t="s">
        <v>183</v>
      </c>
      <c r="BD46" s="299"/>
      <c r="BE46" s="299"/>
      <c r="BF46" s="299"/>
      <c r="BG46" s="299"/>
      <c r="BH46" s="299" t="s">
        <v>190</v>
      </c>
      <c r="BI46" s="299" t="s">
        <v>169</v>
      </c>
      <c r="BJ46" s="299"/>
      <c r="BK46" s="299" t="s">
        <v>191</v>
      </c>
      <c r="BL46" s="299"/>
      <c r="BM46" s="299" t="s">
        <v>192</v>
      </c>
      <c r="BN46" s="299" t="s">
        <v>193</v>
      </c>
      <c r="BO46" s="299" t="s">
        <v>194</v>
      </c>
      <c r="BP46" s="299" t="s">
        <v>195</v>
      </c>
      <c r="BQ46" s="299" t="s">
        <v>196</v>
      </c>
      <c r="BR46" s="299"/>
      <c r="BS46" s="299" t="s">
        <v>197</v>
      </c>
      <c r="BT46" s="299" t="s">
        <v>169</v>
      </c>
      <c r="BU46" s="299" t="s">
        <v>198</v>
      </c>
      <c r="BV46" s="299" t="s">
        <v>199</v>
      </c>
      <c r="BW46" s="299" t="s">
        <v>200</v>
      </c>
      <c r="BX46" s="299" t="s">
        <v>151</v>
      </c>
      <c r="BY46" s="299" t="s">
        <v>193</v>
      </c>
      <c r="BZ46" s="299" t="s">
        <v>152</v>
      </c>
      <c r="CA46" s="299" t="s">
        <v>201</v>
      </c>
      <c r="CB46" s="299" t="s">
        <v>201</v>
      </c>
      <c r="CC46" s="299" t="s">
        <v>202</v>
      </c>
      <c r="CD46" s="299"/>
      <c r="CE46" s="299" t="s">
        <v>203</v>
      </c>
      <c r="CF46" s="2"/>
    </row>
    <row r="47" spans="1:84" ht="12.65" customHeight="1" x14ac:dyDescent="0.35">
      <c r="A47" s="297" t="s">
        <v>204</v>
      </c>
      <c r="B47" s="301">
        <f>2729895.19-34515-145885</f>
        <v>2549495.19</v>
      </c>
      <c r="C47" s="302">
        <f>395699-543+14738</f>
        <v>409894</v>
      </c>
      <c r="D47" s="302"/>
      <c r="E47" s="302">
        <v>319287</v>
      </c>
      <c r="F47" s="302"/>
      <c r="G47" s="302"/>
      <c r="H47" s="302"/>
      <c r="I47" s="302"/>
      <c r="J47" s="302">
        <v>31273</v>
      </c>
      <c r="K47" s="302"/>
      <c r="L47" s="302"/>
      <c r="M47" s="302"/>
      <c r="N47" s="302"/>
      <c r="O47" s="302">
        <v>168031</v>
      </c>
      <c r="P47" s="302">
        <v>150315</v>
      </c>
      <c r="Q47" s="302">
        <v>65157</v>
      </c>
      <c r="R47" s="302">
        <v>12085</v>
      </c>
      <c r="S47" s="302">
        <v>30347</v>
      </c>
      <c r="T47" s="302"/>
      <c r="U47" s="302">
        <f>113021</f>
        <v>113021</v>
      </c>
      <c r="V47" s="302"/>
      <c r="W47" s="302">
        <v>12051</v>
      </c>
      <c r="X47" s="302">
        <f>14441</f>
        <v>14441</v>
      </c>
      <c r="Y47" s="302">
        <f>18097+5429+67452+34019+12648+73450+24672</f>
        <v>235767</v>
      </c>
      <c r="Z47" s="302">
        <v>37428</v>
      </c>
      <c r="AA47" s="302">
        <v>12871</v>
      </c>
      <c r="AB47" s="302">
        <f>92977+9628</f>
        <v>102605</v>
      </c>
      <c r="AC47" s="302">
        <f>20100+49971</f>
        <v>70071</v>
      </c>
      <c r="AD47" s="302"/>
      <c r="AE47" s="302">
        <v>55268</v>
      </c>
      <c r="AF47" s="302"/>
      <c r="AG47" s="302">
        <v>201079</v>
      </c>
      <c r="AH47" s="302"/>
      <c r="AI47" s="302">
        <f>20480+114604</f>
        <v>135084</v>
      </c>
      <c r="AJ47" s="302"/>
      <c r="AK47" s="302">
        <v>7061</v>
      </c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>
        <v>21743</v>
      </c>
      <c r="AW47" s="302"/>
      <c r="AX47" s="302"/>
      <c r="AY47" s="302">
        <v>67035</v>
      </c>
      <c r="AZ47" s="302"/>
      <c r="BA47" s="302"/>
      <c r="BB47" s="302">
        <f>11081+47481</f>
        <v>58562</v>
      </c>
      <c r="BC47" s="302"/>
      <c r="BD47" s="302">
        <f>27967</f>
        <v>27967</v>
      </c>
      <c r="BE47" s="302">
        <f>38479+17502</f>
        <v>55981</v>
      </c>
      <c r="BF47" s="302">
        <f>63840</f>
        <v>63840</v>
      </c>
      <c r="BG47" s="302">
        <v>6477</v>
      </c>
      <c r="BH47" s="302">
        <f>29417</f>
        <v>29417</v>
      </c>
      <c r="BI47" s="302"/>
      <c r="BJ47" s="302">
        <v>22494</v>
      </c>
      <c r="BK47" s="302"/>
      <c r="BL47" s="302">
        <f>56248+9761</f>
        <v>66009</v>
      </c>
      <c r="BM47" s="302"/>
      <c r="BN47" s="302">
        <f>17782+5929+572</f>
        <v>24283</v>
      </c>
      <c r="BO47" s="302"/>
      <c r="BP47" s="302">
        <v>4795</v>
      </c>
      <c r="BQ47" s="302"/>
      <c r="BR47" s="302">
        <f>18338+3332</f>
        <v>21670</v>
      </c>
      <c r="BS47" s="302"/>
      <c r="BT47" s="302"/>
      <c r="BU47" s="302"/>
      <c r="BV47" s="302">
        <v>45141</v>
      </c>
      <c r="BW47" s="302">
        <v>8016</v>
      </c>
      <c r="BX47" s="302">
        <v>18883</v>
      </c>
      <c r="BY47" s="302">
        <f>55920+30312</f>
        <v>86232</v>
      </c>
      <c r="BZ47" s="302"/>
      <c r="CA47" s="302">
        <v>14228</v>
      </c>
      <c r="CB47" s="302"/>
      <c r="CC47" s="302"/>
      <c r="CD47" s="297"/>
      <c r="CE47" s="297">
        <f>SUM(C47:CC47)</f>
        <v>2825909</v>
      </c>
      <c r="CF47" s="2"/>
    </row>
    <row r="48" spans="1:84" ht="12.65" customHeight="1" x14ac:dyDescent="0.35">
      <c r="A48" s="297" t="s">
        <v>205</v>
      </c>
      <c r="B48" s="301">
        <f>6548760.2-B47</f>
        <v>3999265.0100000002</v>
      </c>
      <c r="C48" s="303">
        <f>ROUND(((B48/CE61)*C61),0)</f>
        <v>563188</v>
      </c>
      <c r="D48" s="303">
        <f>ROUND(((B48/CE61)*D61),0)</f>
        <v>0</v>
      </c>
      <c r="E48" s="297">
        <f>ROUND(((B48/CE61)*E61),0)</f>
        <v>449194</v>
      </c>
      <c r="F48" s="297">
        <f>ROUND(((B48/CE61)*F61),0)</f>
        <v>0</v>
      </c>
      <c r="G48" s="297">
        <f>ROUND(((B48/CE61)*G61),0)</f>
        <v>0</v>
      </c>
      <c r="H48" s="297">
        <f>ROUND(((B48/CE61)*H61),0)</f>
        <v>0</v>
      </c>
      <c r="I48" s="297">
        <f>ROUND(((B48/CE61)*I61),0)</f>
        <v>0</v>
      </c>
      <c r="J48" s="297">
        <f>ROUND(((B48/CE61)*J61),0)</f>
        <v>44134</v>
      </c>
      <c r="K48" s="297">
        <f>ROUND(((B48/CE61)*K61),0)</f>
        <v>0</v>
      </c>
      <c r="L48" s="297">
        <f>ROUND(((B48/CE61)*L61),0)</f>
        <v>0</v>
      </c>
      <c r="M48" s="297">
        <f>ROUND(((B48/CE61)*M61),0)</f>
        <v>0</v>
      </c>
      <c r="N48" s="297">
        <f>ROUND(((B48/CE61)*N61),0)</f>
        <v>0</v>
      </c>
      <c r="O48" s="297">
        <f>ROUND(((B48/CE61)*O61),0)</f>
        <v>229668</v>
      </c>
      <c r="P48" s="297">
        <f>ROUND(((B48/CE61)*P61),0)</f>
        <v>206433</v>
      </c>
      <c r="Q48" s="297">
        <f>ROUND(((B48/CE61)*Q61),0)</f>
        <v>88775</v>
      </c>
      <c r="R48" s="297">
        <f>ROUND(((B48/CE61)*R61),0)</f>
        <v>17181</v>
      </c>
      <c r="S48" s="297">
        <f>ROUND(((B48/CE61)*S61),0)</f>
        <v>41663</v>
      </c>
      <c r="T48" s="297">
        <f>ROUND(((B48/CE61)*T61),0)</f>
        <v>0</v>
      </c>
      <c r="U48" s="297">
        <f>ROUND(((B48/CE61)*U61),0)</f>
        <v>152793</v>
      </c>
      <c r="V48" s="297">
        <f>ROUND(((B48/CE61)*V61),0)</f>
        <v>0</v>
      </c>
      <c r="W48" s="297">
        <f>ROUND(((B48/CE61)*W61),0)</f>
        <v>17069</v>
      </c>
      <c r="X48" s="297">
        <f>ROUND(((B48/CE61)*X61),0)</f>
        <v>53386</v>
      </c>
      <c r="Y48" s="297">
        <f>ROUND(((B48/CE61)*Y61),0)</f>
        <v>287687</v>
      </c>
      <c r="Z48" s="297">
        <f>ROUND(((B48/CE61)*Z61),0)</f>
        <v>51573</v>
      </c>
      <c r="AA48" s="297">
        <f>ROUND(((B48/CE61)*AA61),0)</f>
        <v>17486</v>
      </c>
      <c r="AB48" s="297">
        <f>ROUND(((B48/CE61)*AB61),0)</f>
        <v>141349</v>
      </c>
      <c r="AC48" s="297">
        <f>ROUND(((B48/CE61)*AC61),0)</f>
        <v>96314</v>
      </c>
      <c r="AD48" s="297">
        <f>ROUND(((B48/CE61)*AD61),0)</f>
        <v>0</v>
      </c>
      <c r="AE48" s="297">
        <f>ROUND(((B48/CE61)*AE61),0)</f>
        <v>74981</v>
      </c>
      <c r="AF48" s="297">
        <f>ROUND(((B48/CE61)*AF61),0)</f>
        <v>0</v>
      </c>
      <c r="AG48" s="297">
        <f>ROUND(((B48/CE61)*AG61),0)</f>
        <v>277498</v>
      </c>
      <c r="AH48" s="297">
        <f>ROUND(((B48/CE61)*AH61),0)</f>
        <v>0</v>
      </c>
      <c r="AI48" s="297">
        <f>ROUND(((B48/CE61)*AI61),0)</f>
        <v>185700</v>
      </c>
      <c r="AJ48" s="297">
        <f>ROUND(((B48/CE61)*AJ61),0)</f>
        <v>0</v>
      </c>
      <c r="AK48" s="297">
        <f>ROUND(((B48/CE61)*AK61),0)</f>
        <v>9360</v>
      </c>
      <c r="AL48" s="297">
        <f>ROUND(((B48/CE61)*AL61),0)</f>
        <v>0</v>
      </c>
      <c r="AM48" s="297">
        <f>ROUND(((B48/CE61)*AM61),0)</f>
        <v>0</v>
      </c>
      <c r="AN48" s="297">
        <f>ROUND(((B48/CE61)*AN61),0)</f>
        <v>0</v>
      </c>
      <c r="AO48" s="297">
        <f>ROUND(((B48/CE61)*AO61),0)</f>
        <v>0</v>
      </c>
      <c r="AP48" s="297">
        <f>ROUND(((B48/CE61)*AP61),0)</f>
        <v>0</v>
      </c>
      <c r="AQ48" s="297">
        <f>ROUND(((B48/CE61)*AQ61),0)</f>
        <v>0</v>
      </c>
      <c r="AR48" s="297">
        <f>ROUND(((B48/CE61)*AR61),0)</f>
        <v>0</v>
      </c>
      <c r="AS48" s="297">
        <f>ROUND(((B48/CE61)*AS61),0)</f>
        <v>0</v>
      </c>
      <c r="AT48" s="297">
        <f>ROUND(((B48/CE61)*AT61),0)</f>
        <v>0</v>
      </c>
      <c r="AU48" s="297">
        <f>ROUND(((B48/CE61)*AU61),0)</f>
        <v>0</v>
      </c>
      <c r="AV48" s="297">
        <f>ROUND(((B48/CE61)*AV61),0)</f>
        <v>30129</v>
      </c>
      <c r="AW48" s="297">
        <f>ROUND(((B48/CE61)*AW61),0)</f>
        <v>0</v>
      </c>
      <c r="AX48" s="297">
        <f>ROUND(((B48/CE61)*AX61),0)</f>
        <v>0</v>
      </c>
      <c r="AY48" s="297">
        <f>ROUND(((B48/CE61)*AY61),0)</f>
        <v>91936</v>
      </c>
      <c r="AZ48" s="297">
        <f>ROUND(((B48/CE61)*AZ61),0)</f>
        <v>0</v>
      </c>
      <c r="BA48" s="297">
        <f>ROUND(((B48/CE61)*BA61),0)</f>
        <v>0</v>
      </c>
      <c r="BB48" s="297">
        <f>ROUND(((B48/CE61)*BB61),0)</f>
        <v>79994</v>
      </c>
      <c r="BC48" s="297">
        <f>ROUND(((B48/CE61)*BC61),0)</f>
        <v>0</v>
      </c>
      <c r="BD48" s="297">
        <f>ROUND(((B48/CE61)*BD61),0)</f>
        <v>38534</v>
      </c>
      <c r="BE48" s="297">
        <f>ROUND(((B48/CE61)*BE61),0)</f>
        <v>76951</v>
      </c>
      <c r="BF48" s="297">
        <f>ROUND(((B48/CE61)*BF61),0)</f>
        <v>86694</v>
      </c>
      <c r="BG48" s="297">
        <f>ROUND(((B48/CE61)*BG61),0)</f>
        <v>8894</v>
      </c>
      <c r="BH48" s="297">
        <f>ROUND(((B48/CE61)*BH61),0)</f>
        <v>39863</v>
      </c>
      <c r="BI48" s="297">
        <f>ROUND(((B48/CE61)*BI61),0)</f>
        <v>0</v>
      </c>
      <c r="BJ48" s="297">
        <f>ROUND(((B48/CE61)*BJ61),0)</f>
        <v>32197</v>
      </c>
      <c r="BK48" s="297">
        <f>ROUND(((B48/CE61)*BK61),0)</f>
        <v>0</v>
      </c>
      <c r="BL48" s="297">
        <f>ROUND(((B48/CE61)*BL61),0)</f>
        <v>90428</v>
      </c>
      <c r="BM48" s="297">
        <f>ROUND(((B48/CE61)*BM61),0)</f>
        <v>0</v>
      </c>
      <c r="BN48" s="297">
        <f>ROUND(((B48/CE61)*BN61),0)</f>
        <v>147850</v>
      </c>
      <c r="BO48" s="297">
        <f>ROUND(((B48/CE61)*BO61),0)</f>
        <v>0</v>
      </c>
      <c r="BP48" s="297">
        <f>ROUND(((B48/CE61)*BP61),0)</f>
        <v>6452</v>
      </c>
      <c r="BQ48" s="297">
        <f>ROUND(((B48/CE61)*BQ61),0)</f>
        <v>0</v>
      </c>
      <c r="BR48" s="297">
        <f>ROUND(((B48/CE61)*BR61),0)</f>
        <v>29874</v>
      </c>
      <c r="BS48" s="297">
        <f>ROUND(((B48/CE61)*BS61),0)</f>
        <v>0</v>
      </c>
      <c r="BT48" s="297">
        <f>ROUND(((B48/CE61)*BT61),0)</f>
        <v>0</v>
      </c>
      <c r="BU48" s="297">
        <f>ROUND(((B48/CE61)*BU61),0)</f>
        <v>0</v>
      </c>
      <c r="BV48" s="297">
        <f>ROUND(((B48/CE61)*BV61),0)</f>
        <v>64104</v>
      </c>
      <c r="BW48" s="297">
        <f>ROUND(((B48/CE61)*BW61),0)</f>
        <v>10377</v>
      </c>
      <c r="BX48" s="297">
        <f>ROUND(((B48/CE61)*BX61),0)</f>
        <v>24748</v>
      </c>
      <c r="BY48" s="297">
        <f>ROUND(((B48/CE61)*BY61),0)</f>
        <v>116109</v>
      </c>
      <c r="BZ48" s="297">
        <f>ROUND(((B48/CE61)*BZ61),0)</f>
        <v>0</v>
      </c>
      <c r="CA48" s="297">
        <f>ROUND(((B48/CE61)*CA61),0)</f>
        <v>18701</v>
      </c>
      <c r="CB48" s="297">
        <f>ROUND(((B48/CE61)*CB61),0)</f>
        <v>0</v>
      </c>
      <c r="CC48" s="297">
        <f>ROUND(((B48/CE61)*CC61),0)</f>
        <v>0</v>
      </c>
      <c r="CD48" s="297"/>
      <c r="CE48" s="297">
        <f>SUM(C48:CD48)</f>
        <v>3999267</v>
      </c>
      <c r="CF48" s="2"/>
    </row>
    <row r="49" spans="1:84" ht="12.65" customHeight="1" x14ac:dyDescent="0.35">
      <c r="A49" s="297" t="s">
        <v>206</v>
      </c>
      <c r="B49" s="297">
        <f>B47+B48</f>
        <v>6548760.2000000002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  <c r="BX49" s="297"/>
      <c r="BY49" s="297"/>
      <c r="BZ49" s="297"/>
      <c r="CA49" s="297"/>
      <c r="CB49" s="297"/>
      <c r="CC49" s="297"/>
      <c r="CD49" s="297"/>
      <c r="CE49" s="297"/>
      <c r="CF49" s="2"/>
    </row>
    <row r="50" spans="1:84" ht="12.65" customHeight="1" x14ac:dyDescent="0.35">
      <c r="A50" s="297" t="s">
        <v>6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"/>
    </row>
    <row r="51" spans="1:84" ht="12.65" customHeight="1" x14ac:dyDescent="0.35">
      <c r="A51" s="304" t="s">
        <v>207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  <c r="BR51" s="302"/>
      <c r="BS51" s="302"/>
      <c r="BT51" s="302"/>
      <c r="BU51" s="302"/>
      <c r="BV51" s="302"/>
      <c r="BW51" s="302"/>
      <c r="BX51" s="302"/>
      <c r="BY51" s="302"/>
      <c r="BZ51" s="302"/>
      <c r="CA51" s="302"/>
      <c r="CB51" s="302"/>
      <c r="CC51" s="302"/>
      <c r="CD51" s="297"/>
      <c r="CE51" s="297">
        <f>SUM(C51:CD51)</f>
        <v>0</v>
      </c>
      <c r="CF51" s="2"/>
    </row>
    <row r="52" spans="1:84" ht="12.65" customHeight="1" x14ac:dyDescent="0.35">
      <c r="A52" s="304" t="s">
        <v>208</v>
      </c>
      <c r="B52" s="302">
        <v>5556791</v>
      </c>
      <c r="C52" s="297">
        <f>ROUND((B52/(CE76+CF76)*C76),0)</f>
        <v>300847</v>
      </c>
      <c r="D52" s="297">
        <f>ROUND((B52/(CE76+CF76)*D76),0)</f>
        <v>0</v>
      </c>
      <c r="E52" s="297">
        <f>ROUND((B52/(CE76+CF76)*E76),0)</f>
        <v>427379</v>
      </c>
      <c r="F52" s="297">
        <f>ROUND((B52/(CE76+CF76)*F76),0)</f>
        <v>0</v>
      </c>
      <c r="G52" s="297">
        <f>ROUND((B52/(CE76+CF76)*G76),0)</f>
        <v>0</v>
      </c>
      <c r="H52" s="297">
        <f>ROUND((B52/(CE76+CF76)*H76),0)</f>
        <v>0</v>
      </c>
      <c r="I52" s="297">
        <f>ROUND((B52/(CE76+CF76)*I76),0)</f>
        <v>0</v>
      </c>
      <c r="J52" s="297">
        <f>ROUND((B52/(CE76+CF76)*J76),0)</f>
        <v>25500</v>
      </c>
      <c r="K52" s="297">
        <f>ROUND((B52/(CE76+CF76)*K76),0)</f>
        <v>0</v>
      </c>
      <c r="L52" s="297">
        <f>ROUND((B52/(CE76+CF76)*L76),0)</f>
        <v>0</v>
      </c>
      <c r="M52" s="297">
        <f>ROUND((B52/(CE76+CF76)*M76),0)</f>
        <v>0</v>
      </c>
      <c r="N52" s="297">
        <f>ROUND((B52/(CE76+CF76)*N76),0)</f>
        <v>0</v>
      </c>
      <c r="O52" s="297">
        <f>ROUND((B52/(CE76+CF76)*O76),0)</f>
        <v>806656</v>
      </c>
      <c r="P52" s="297">
        <f>ROUND((B52/(CE76+CF76)*P76),0)</f>
        <v>80791</v>
      </c>
      <c r="Q52" s="297">
        <f>ROUND((B52/(CE76+CF76)*Q76),0)</f>
        <v>102714</v>
      </c>
      <c r="R52" s="297">
        <f>ROUND((B52/(CE76+CF76)*R76),0)</f>
        <v>12267</v>
      </c>
      <c r="S52" s="297">
        <f>ROUND((B52/(CE76+CF76)*S76),0)</f>
        <v>103251</v>
      </c>
      <c r="T52" s="297">
        <f>ROUND((B52/(CE76+CF76)*T76),0)</f>
        <v>0</v>
      </c>
      <c r="U52" s="297">
        <f>ROUND((B52/(CE76+CF76)*U76),0)</f>
        <v>98136</v>
      </c>
      <c r="V52" s="297">
        <f>ROUND((B52/(CE76+CF76)*V76),0)</f>
        <v>0</v>
      </c>
      <c r="W52" s="297">
        <f>ROUND((B52/(CE76+CF76)*W76),0)</f>
        <v>31544</v>
      </c>
      <c r="X52" s="297">
        <f>ROUND((B52/(CE76+CF76)*X76),0)</f>
        <v>214012</v>
      </c>
      <c r="Y52" s="297">
        <f>ROUND((B52/(CE76+CF76)*Y76),0)</f>
        <v>502877</v>
      </c>
      <c r="Z52" s="297">
        <f>ROUND((B52/(CE76+CF76)*Z76),0)</f>
        <v>180036</v>
      </c>
      <c r="AA52" s="297">
        <f>ROUND((B52/(CE76+CF76)*AA76),0)</f>
        <v>13018</v>
      </c>
      <c r="AB52" s="297">
        <f>ROUND((B52/(CE76+CF76)*AB76),0)</f>
        <v>44991</v>
      </c>
      <c r="AC52" s="297">
        <f>ROUND((B52/(CE76+CF76)*AC76),0)</f>
        <v>151460</v>
      </c>
      <c r="AD52" s="297">
        <f>ROUND((B52/(CE76+CF76)*AD76),0)</f>
        <v>0</v>
      </c>
      <c r="AE52" s="297">
        <f>ROUND((B52/(CE76+CF76)*AE76),0)</f>
        <v>150674</v>
      </c>
      <c r="AF52" s="297">
        <f>ROUND((B52/(CE76+CF76)*AF76),0)</f>
        <v>0</v>
      </c>
      <c r="AG52" s="297">
        <f>ROUND((B52/(CE76+CF76)*AG76),0)</f>
        <v>151925</v>
      </c>
      <c r="AH52" s="297">
        <f>ROUND((B52/(CE76+CF76)*AH76),0)</f>
        <v>0</v>
      </c>
      <c r="AI52" s="297">
        <f>ROUND((B52/(CE76+CF76)*AI76),0)</f>
        <v>178069</v>
      </c>
      <c r="AJ52" s="297">
        <f>ROUND((B52/(CE76+CF76)*AJ76),0)</f>
        <v>0</v>
      </c>
      <c r="AK52" s="297">
        <f>ROUND((B52/(CE76+CF76)*AK76),0)</f>
        <v>0</v>
      </c>
      <c r="AL52" s="297">
        <f>ROUND((B52/(CE76+CF76)*AL76),0)</f>
        <v>0</v>
      </c>
      <c r="AM52" s="297">
        <f>ROUND((B52/(CE76+CF76)*AM76),0)</f>
        <v>0</v>
      </c>
      <c r="AN52" s="297">
        <f>ROUND((B52/(CE76+CF76)*AN76),0)</f>
        <v>0</v>
      </c>
      <c r="AO52" s="297">
        <f>ROUND((B52/(CE76+CF76)*AO76),0)</f>
        <v>0</v>
      </c>
      <c r="AP52" s="297">
        <f>ROUND((B52/(CE76+CF76)*AP76),0)</f>
        <v>0</v>
      </c>
      <c r="AQ52" s="297">
        <f>ROUND((B52/(CE76+CF76)*AQ76),0)</f>
        <v>0</v>
      </c>
      <c r="AR52" s="297">
        <f>ROUND((B52/(CE76+CF76)*AR76),0)</f>
        <v>0</v>
      </c>
      <c r="AS52" s="297">
        <f>ROUND((B52/(CE76+CF76)*AS76),0)</f>
        <v>0</v>
      </c>
      <c r="AT52" s="297">
        <f>ROUND((B52/(CE76+CF76)*AT76),0)</f>
        <v>0</v>
      </c>
      <c r="AU52" s="297">
        <f>ROUND((B52/(CE76+CF76)*AU76),0)</f>
        <v>0</v>
      </c>
      <c r="AV52" s="297">
        <f>ROUND((B52/(CE76+CF76)*AV76),0)</f>
        <v>0</v>
      </c>
      <c r="AW52" s="297">
        <f>ROUND((B52/(CE76+CF76)*AW76),0)</f>
        <v>0</v>
      </c>
      <c r="AX52" s="297">
        <f>ROUND((B52/(CE76+CF76)*AX76),0)</f>
        <v>0</v>
      </c>
      <c r="AY52" s="297">
        <f>ROUND((B52/(CE76+CF76)*AY76),0)</f>
        <v>195951</v>
      </c>
      <c r="AZ52" s="297">
        <f>ROUND((B52/(CE76+CF76)*AZ76),0)</f>
        <v>0</v>
      </c>
      <c r="BA52" s="297">
        <f>ROUND((B52/(CE76+CF76)*BA76),0)</f>
        <v>0</v>
      </c>
      <c r="BB52" s="297">
        <f>ROUND((B52/(CE76+CF76)*BB76),0)</f>
        <v>26465</v>
      </c>
      <c r="BC52" s="297">
        <f>ROUND((B52/(CE76+CF76)*BC76),0)</f>
        <v>0</v>
      </c>
      <c r="BD52" s="297">
        <f>ROUND((B52/(CE76+CF76)*BD76),0)</f>
        <v>91735</v>
      </c>
      <c r="BE52" s="297">
        <f>ROUND((B52/(CE76+CF76)*BE76),0)</f>
        <v>966986</v>
      </c>
      <c r="BF52" s="297">
        <f>ROUND((B52/(CE76+CF76)*BF76),0)</f>
        <v>81864</v>
      </c>
      <c r="BG52" s="297">
        <f>ROUND((B52/(CE76+CF76)*BG76),0)</f>
        <v>12052</v>
      </c>
      <c r="BH52" s="297">
        <f>ROUND((B52/(CE76+CF76)*BH76),0)</f>
        <v>26895</v>
      </c>
      <c r="BI52" s="297">
        <f>ROUND((B52/(CE76+CF76)*BI76),0)</f>
        <v>0</v>
      </c>
      <c r="BJ52" s="297">
        <f>ROUND((B52/(CE76+CF76)*BJ76),0)</f>
        <v>58474</v>
      </c>
      <c r="BK52" s="297">
        <f>ROUND((B52/(CE76+CF76)*BK76),0)</f>
        <v>0</v>
      </c>
      <c r="BL52" s="297">
        <f>ROUND((B52/(CE76+CF76)*BL76),0)</f>
        <v>64411</v>
      </c>
      <c r="BM52" s="297">
        <f>ROUND((B52/(CE76+CF76)*BM76),0)</f>
        <v>0</v>
      </c>
      <c r="BN52" s="297">
        <f>ROUND((B52/(CE76+CF76)*BN76),0)</f>
        <v>138585</v>
      </c>
      <c r="BO52" s="297">
        <f>ROUND((B52/(CE76+CF76)*BO76),0)</f>
        <v>0</v>
      </c>
      <c r="BP52" s="297">
        <f>ROUND((B52/(CE76+CF76)*BP76),0)</f>
        <v>26072</v>
      </c>
      <c r="BQ52" s="297">
        <f>ROUND((B52/(CE76+CF76)*BQ76),0)</f>
        <v>0</v>
      </c>
      <c r="BR52" s="297">
        <f>ROUND((B52/(CE76+CF76)*BR76),0)</f>
        <v>36229</v>
      </c>
      <c r="BS52" s="297">
        <f>ROUND((B52/(CE76+CF76)*BS76),0)</f>
        <v>10228</v>
      </c>
      <c r="BT52" s="297">
        <f>ROUND((B52/(CE76+CF76)*BT76),0)</f>
        <v>0</v>
      </c>
      <c r="BU52" s="297">
        <f>ROUND((B52/(CE76+CF76)*BU76),0)</f>
        <v>119988</v>
      </c>
      <c r="BV52" s="297">
        <f>ROUND((B52/(CE76+CF76)*BV76),0)</f>
        <v>0</v>
      </c>
      <c r="BW52" s="297">
        <f>ROUND((B52/(CE76+CF76)*BW76),0)</f>
        <v>0</v>
      </c>
      <c r="BX52" s="297">
        <f>ROUND((B52/(CE76+CF76)*BX76),0)</f>
        <v>2968</v>
      </c>
      <c r="BY52" s="297">
        <f>ROUND((B52/(CE76+CF76)*BY76),0)</f>
        <v>41665</v>
      </c>
      <c r="BZ52" s="297">
        <f>ROUND((B52/(CE76+CF76)*BZ76),0)</f>
        <v>0</v>
      </c>
      <c r="CA52" s="297">
        <f>ROUND((B52/(CE76+CF76)*CA76),0)</f>
        <v>80076</v>
      </c>
      <c r="CB52" s="297">
        <f>ROUND((B52/(CE76+CF76)*CB76),0)</f>
        <v>0</v>
      </c>
      <c r="CC52" s="297">
        <f>ROUND((B52/(CE76+CF76)*CC76),0)</f>
        <v>0</v>
      </c>
      <c r="CD52" s="297"/>
      <c r="CE52" s="297">
        <f>SUM(C52:CD52)</f>
        <v>5556791</v>
      </c>
      <c r="CF52" s="2"/>
    </row>
    <row r="53" spans="1:84" ht="12.65" customHeight="1" x14ac:dyDescent="0.35">
      <c r="A53" s="297" t="s">
        <v>206</v>
      </c>
      <c r="B53" s="297">
        <f>B51+B52</f>
        <v>5556791</v>
      </c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7"/>
      <c r="BR53" s="297"/>
      <c r="BS53" s="297"/>
      <c r="BT53" s="297"/>
      <c r="BU53" s="297"/>
      <c r="BV53" s="297"/>
      <c r="BW53" s="297"/>
      <c r="BX53" s="297"/>
      <c r="BY53" s="297"/>
      <c r="BZ53" s="297"/>
      <c r="CA53" s="297"/>
      <c r="CB53" s="297"/>
      <c r="CC53" s="297"/>
      <c r="CD53" s="297"/>
      <c r="CE53" s="297"/>
      <c r="CF53" s="2"/>
    </row>
    <row r="54" spans="1:84" ht="15.75" customHeight="1" x14ac:dyDescent="0.35">
      <c r="A54" s="297"/>
      <c r="B54" s="297"/>
      <c r="C54" s="305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7"/>
      <c r="CB54" s="297"/>
      <c r="CC54" s="297"/>
      <c r="CD54" s="297"/>
      <c r="CE54" s="297"/>
      <c r="CF54" s="2"/>
    </row>
    <row r="55" spans="1:84" ht="12.65" customHeight="1" x14ac:dyDescent="0.35">
      <c r="A55" s="304" t="s">
        <v>209</v>
      </c>
      <c r="B55" s="297"/>
      <c r="C55" s="298" t="s">
        <v>10</v>
      </c>
      <c r="D55" s="299" t="s">
        <v>11</v>
      </c>
      <c r="E55" s="299" t="s">
        <v>12</v>
      </c>
      <c r="F55" s="299" t="s">
        <v>13</v>
      </c>
      <c r="G55" s="299" t="s">
        <v>14</v>
      </c>
      <c r="H55" s="299" t="s">
        <v>15</v>
      </c>
      <c r="I55" s="299" t="s">
        <v>16</v>
      </c>
      <c r="J55" s="299" t="s">
        <v>17</v>
      </c>
      <c r="K55" s="299" t="s">
        <v>18</v>
      </c>
      <c r="L55" s="299" t="s">
        <v>19</v>
      </c>
      <c r="M55" s="299" t="s">
        <v>20</v>
      </c>
      <c r="N55" s="299" t="s">
        <v>21</v>
      </c>
      <c r="O55" s="299" t="s">
        <v>22</v>
      </c>
      <c r="P55" s="299" t="s">
        <v>23</v>
      </c>
      <c r="Q55" s="299" t="s">
        <v>24</v>
      </c>
      <c r="R55" s="299" t="s">
        <v>25</v>
      </c>
      <c r="S55" s="299" t="s">
        <v>26</v>
      </c>
      <c r="T55" s="306" t="s">
        <v>27</v>
      </c>
      <c r="U55" s="299" t="s">
        <v>28</v>
      </c>
      <c r="V55" s="299" t="s">
        <v>29</v>
      </c>
      <c r="W55" s="299" t="s">
        <v>30</v>
      </c>
      <c r="X55" s="299" t="s">
        <v>31</v>
      </c>
      <c r="Y55" s="299" t="s">
        <v>32</v>
      </c>
      <c r="Z55" s="299" t="s">
        <v>33</v>
      </c>
      <c r="AA55" s="299" t="s">
        <v>34</v>
      </c>
      <c r="AB55" s="299" t="s">
        <v>35</v>
      </c>
      <c r="AC55" s="299" t="s">
        <v>36</v>
      </c>
      <c r="AD55" s="299" t="s">
        <v>37</v>
      </c>
      <c r="AE55" s="299" t="s">
        <v>38</v>
      </c>
      <c r="AF55" s="299" t="s">
        <v>39</v>
      </c>
      <c r="AG55" s="299" t="s">
        <v>40</v>
      </c>
      <c r="AH55" s="299" t="s">
        <v>41</v>
      </c>
      <c r="AI55" s="299" t="s">
        <v>42</v>
      </c>
      <c r="AJ55" s="299" t="s">
        <v>43</v>
      </c>
      <c r="AK55" s="299" t="s">
        <v>44</v>
      </c>
      <c r="AL55" s="299" t="s">
        <v>45</v>
      </c>
      <c r="AM55" s="299" t="s">
        <v>46</v>
      </c>
      <c r="AN55" s="299" t="s">
        <v>47</v>
      </c>
      <c r="AO55" s="299" t="s">
        <v>48</v>
      </c>
      <c r="AP55" s="299" t="s">
        <v>49</v>
      </c>
      <c r="AQ55" s="299" t="s">
        <v>50</v>
      </c>
      <c r="AR55" s="299" t="s">
        <v>51</v>
      </c>
      <c r="AS55" s="299" t="s">
        <v>52</v>
      </c>
      <c r="AT55" s="299" t="s">
        <v>53</v>
      </c>
      <c r="AU55" s="299" t="s">
        <v>54</v>
      </c>
      <c r="AV55" s="299" t="s">
        <v>55</v>
      </c>
      <c r="AW55" s="299" t="s">
        <v>56</v>
      </c>
      <c r="AX55" s="299" t="s">
        <v>57</v>
      </c>
      <c r="AY55" s="299" t="s">
        <v>58</v>
      </c>
      <c r="AZ55" s="299" t="s">
        <v>59</v>
      </c>
      <c r="BA55" s="299" t="s">
        <v>60</v>
      </c>
      <c r="BB55" s="299" t="s">
        <v>61</v>
      </c>
      <c r="BC55" s="299" t="s">
        <v>62</v>
      </c>
      <c r="BD55" s="299" t="s">
        <v>63</v>
      </c>
      <c r="BE55" s="299" t="s">
        <v>64</v>
      </c>
      <c r="BF55" s="299" t="s">
        <v>65</v>
      </c>
      <c r="BG55" s="299" t="s">
        <v>66</v>
      </c>
      <c r="BH55" s="299" t="s">
        <v>67</v>
      </c>
      <c r="BI55" s="299" t="s">
        <v>68</v>
      </c>
      <c r="BJ55" s="299" t="s">
        <v>69</v>
      </c>
      <c r="BK55" s="299" t="s">
        <v>70</v>
      </c>
      <c r="BL55" s="299" t="s">
        <v>71</v>
      </c>
      <c r="BM55" s="299" t="s">
        <v>72</v>
      </c>
      <c r="BN55" s="299" t="s">
        <v>73</v>
      </c>
      <c r="BO55" s="299" t="s">
        <v>74</v>
      </c>
      <c r="BP55" s="299" t="s">
        <v>75</v>
      </c>
      <c r="BQ55" s="299" t="s">
        <v>76</v>
      </c>
      <c r="BR55" s="299" t="s">
        <v>77</v>
      </c>
      <c r="BS55" s="299" t="s">
        <v>78</v>
      </c>
      <c r="BT55" s="299" t="s">
        <v>79</v>
      </c>
      <c r="BU55" s="299" t="s">
        <v>80</v>
      </c>
      <c r="BV55" s="299" t="s">
        <v>81</v>
      </c>
      <c r="BW55" s="299" t="s">
        <v>82</v>
      </c>
      <c r="BX55" s="299" t="s">
        <v>83</v>
      </c>
      <c r="BY55" s="299" t="s">
        <v>84</v>
      </c>
      <c r="BZ55" s="299" t="s">
        <v>85</v>
      </c>
      <c r="CA55" s="299" t="s">
        <v>86</v>
      </c>
      <c r="CB55" s="299" t="s">
        <v>87</v>
      </c>
      <c r="CC55" s="299" t="s">
        <v>88</v>
      </c>
      <c r="CD55" s="299" t="s">
        <v>89</v>
      </c>
      <c r="CE55" s="299" t="s">
        <v>90</v>
      </c>
      <c r="CF55" s="2"/>
    </row>
    <row r="56" spans="1:84" ht="12.65" customHeight="1" x14ac:dyDescent="0.35">
      <c r="A56" s="304" t="s">
        <v>210</v>
      </c>
      <c r="B56" s="297"/>
      <c r="C56" s="298" t="s">
        <v>92</v>
      </c>
      <c r="D56" s="299" t="s">
        <v>93</v>
      </c>
      <c r="E56" s="299" t="s">
        <v>94</v>
      </c>
      <c r="F56" s="299" t="s">
        <v>95</v>
      </c>
      <c r="G56" s="299" t="s">
        <v>96</v>
      </c>
      <c r="H56" s="299" t="s">
        <v>97</v>
      </c>
      <c r="I56" s="299" t="s">
        <v>98</v>
      </c>
      <c r="J56" s="299" t="s">
        <v>99</v>
      </c>
      <c r="K56" s="299" t="s">
        <v>100</v>
      </c>
      <c r="L56" s="299" t="s">
        <v>101</v>
      </c>
      <c r="M56" s="299" t="s">
        <v>102</v>
      </c>
      <c r="N56" s="299" t="s">
        <v>103</v>
      </c>
      <c r="O56" s="299" t="s">
        <v>104</v>
      </c>
      <c r="P56" s="299" t="s">
        <v>105</v>
      </c>
      <c r="Q56" s="299" t="s">
        <v>106</v>
      </c>
      <c r="R56" s="299" t="s">
        <v>107</v>
      </c>
      <c r="S56" s="299" t="s">
        <v>108</v>
      </c>
      <c r="T56" s="299" t="s">
        <v>1194</v>
      </c>
      <c r="U56" s="299" t="s">
        <v>109</v>
      </c>
      <c r="V56" s="299" t="s">
        <v>110</v>
      </c>
      <c r="W56" s="299" t="s">
        <v>111</v>
      </c>
      <c r="X56" s="299" t="s">
        <v>112</v>
      </c>
      <c r="Y56" s="299" t="s">
        <v>113</v>
      </c>
      <c r="Z56" s="299" t="s">
        <v>113</v>
      </c>
      <c r="AA56" s="299" t="s">
        <v>114</v>
      </c>
      <c r="AB56" s="299" t="s">
        <v>115</v>
      </c>
      <c r="AC56" s="299" t="s">
        <v>116</v>
      </c>
      <c r="AD56" s="299" t="s">
        <v>117</v>
      </c>
      <c r="AE56" s="299" t="s">
        <v>96</v>
      </c>
      <c r="AF56" s="299" t="s">
        <v>97</v>
      </c>
      <c r="AG56" s="299" t="s">
        <v>118</v>
      </c>
      <c r="AH56" s="299" t="s">
        <v>119</v>
      </c>
      <c r="AI56" s="299" t="s">
        <v>120</v>
      </c>
      <c r="AJ56" s="299" t="s">
        <v>121</v>
      </c>
      <c r="AK56" s="299" t="s">
        <v>122</v>
      </c>
      <c r="AL56" s="299" t="s">
        <v>123</v>
      </c>
      <c r="AM56" s="299" t="s">
        <v>124</v>
      </c>
      <c r="AN56" s="299" t="s">
        <v>110</v>
      </c>
      <c r="AO56" s="299" t="s">
        <v>125</v>
      </c>
      <c r="AP56" s="299" t="s">
        <v>126</v>
      </c>
      <c r="AQ56" s="299" t="s">
        <v>127</v>
      </c>
      <c r="AR56" s="299" t="s">
        <v>128</v>
      </c>
      <c r="AS56" s="299" t="s">
        <v>129</v>
      </c>
      <c r="AT56" s="299" t="s">
        <v>130</v>
      </c>
      <c r="AU56" s="299" t="s">
        <v>131</v>
      </c>
      <c r="AV56" s="299" t="s">
        <v>132</v>
      </c>
      <c r="AW56" s="299" t="s">
        <v>133</v>
      </c>
      <c r="AX56" s="299" t="s">
        <v>134</v>
      </c>
      <c r="AY56" s="299" t="s">
        <v>135</v>
      </c>
      <c r="AZ56" s="299" t="s">
        <v>136</v>
      </c>
      <c r="BA56" s="299" t="s">
        <v>137</v>
      </c>
      <c r="BB56" s="299" t="s">
        <v>138</v>
      </c>
      <c r="BC56" s="299" t="s">
        <v>108</v>
      </c>
      <c r="BD56" s="299" t="s">
        <v>139</v>
      </c>
      <c r="BE56" s="299" t="s">
        <v>140</v>
      </c>
      <c r="BF56" s="299" t="s">
        <v>141</v>
      </c>
      <c r="BG56" s="299" t="s">
        <v>142</v>
      </c>
      <c r="BH56" s="299" t="s">
        <v>143</v>
      </c>
      <c r="BI56" s="299" t="s">
        <v>144</v>
      </c>
      <c r="BJ56" s="299" t="s">
        <v>145</v>
      </c>
      <c r="BK56" s="299" t="s">
        <v>146</v>
      </c>
      <c r="BL56" s="299" t="s">
        <v>147</v>
      </c>
      <c r="BM56" s="299" t="s">
        <v>132</v>
      </c>
      <c r="BN56" s="299" t="s">
        <v>148</v>
      </c>
      <c r="BO56" s="299" t="s">
        <v>149</v>
      </c>
      <c r="BP56" s="299" t="s">
        <v>150</v>
      </c>
      <c r="BQ56" s="299" t="s">
        <v>151</v>
      </c>
      <c r="BR56" s="299" t="s">
        <v>152</v>
      </c>
      <c r="BS56" s="299" t="s">
        <v>153</v>
      </c>
      <c r="BT56" s="299" t="s">
        <v>154</v>
      </c>
      <c r="BU56" s="299" t="s">
        <v>155</v>
      </c>
      <c r="BV56" s="299" t="s">
        <v>155</v>
      </c>
      <c r="BW56" s="299" t="s">
        <v>155</v>
      </c>
      <c r="BX56" s="299" t="s">
        <v>156</v>
      </c>
      <c r="BY56" s="299" t="s">
        <v>157</v>
      </c>
      <c r="BZ56" s="299" t="s">
        <v>158</v>
      </c>
      <c r="CA56" s="299" t="s">
        <v>159</v>
      </c>
      <c r="CB56" s="299" t="s">
        <v>160</v>
      </c>
      <c r="CC56" s="299" t="s">
        <v>132</v>
      </c>
      <c r="CD56" s="299" t="s">
        <v>211</v>
      </c>
      <c r="CE56" s="299" t="s">
        <v>161</v>
      </c>
      <c r="CF56" s="2"/>
    </row>
    <row r="57" spans="1:84" ht="12.65" customHeight="1" x14ac:dyDescent="0.35">
      <c r="A57" s="304" t="s">
        <v>212</v>
      </c>
      <c r="B57" s="297"/>
      <c r="C57" s="298" t="s">
        <v>163</v>
      </c>
      <c r="D57" s="299" t="s">
        <v>163</v>
      </c>
      <c r="E57" s="299" t="s">
        <v>163</v>
      </c>
      <c r="F57" s="299" t="s">
        <v>164</v>
      </c>
      <c r="G57" s="299" t="s">
        <v>165</v>
      </c>
      <c r="H57" s="299" t="s">
        <v>163</v>
      </c>
      <c r="I57" s="299" t="s">
        <v>166</v>
      </c>
      <c r="J57" s="299"/>
      <c r="K57" s="299" t="s">
        <v>157</v>
      </c>
      <c r="L57" s="299" t="s">
        <v>167</v>
      </c>
      <c r="M57" s="299" t="s">
        <v>168</v>
      </c>
      <c r="N57" s="299" t="s">
        <v>169</v>
      </c>
      <c r="O57" s="299" t="s">
        <v>170</v>
      </c>
      <c r="P57" s="299" t="s">
        <v>169</v>
      </c>
      <c r="Q57" s="299" t="s">
        <v>171</v>
      </c>
      <c r="R57" s="299"/>
      <c r="S57" s="299" t="s">
        <v>169</v>
      </c>
      <c r="T57" s="299" t="s">
        <v>172</v>
      </c>
      <c r="U57" s="299"/>
      <c r="V57" s="299" t="s">
        <v>173</v>
      </c>
      <c r="W57" s="299" t="s">
        <v>174</v>
      </c>
      <c r="X57" s="299" t="s">
        <v>175</v>
      </c>
      <c r="Y57" s="299" t="s">
        <v>176</v>
      </c>
      <c r="Z57" s="299" t="s">
        <v>177</v>
      </c>
      <c r="AA57" s="299" t="s">
        <v>178</v>
      </c>
      <c r="AB57" s="299"/>
      <c r="AC57" s="299" t="s">
        <v>172</v>
      </c>
      <c r="AD57" s="299"/>
      <c r="AE57" s="299" t="s">
        <v>172</v>
      </c>
      <c r="AF57" s="299" t="s">
        <v>179</v>
      </c>
      <c r="AG57" s="299" t="s">
        <v>171</v>
      </c>
      <c r="AH57" s="299"/>
      <c r="AI57" s="299" t="s">
        <v>180</v>
      </c>
      <c r="AJ57" s="299"/>
      <c r="AK57" s="299" t="s">
        <v>172</v>
      </c>
      <c r="AL57" s="299" t="s">
        <v>172</v>
      </c>
      <c r="AM57" s="299" t="s">
        <v>172</v>
      </c>
      <c r="AN57" s="299" t="s">
        <v>181</v>
      </c>
      <c r="AO57" s="299" t="s">
        <v>182</v>
      </c>
      <c r="AP57" s="299" t="s">
        <v>121</v>
      </c>
      <c r="AQ57" s="299" t="s">
        <v>183</v>
      </c>
      <c r="AR57" s="299" t="s">
        <v>169</v>
      </c>
      <c r="AS57" s="299"/>
      <c r="AT57" s="299" t="s">
        <v>184</v>
      </c>
      <c r="AU57" s="299" t="s">
        <v>185</v>
      </c>
      <c r="AV57" s="299" t="s">
        <v>186</v>
      </c>
      <c r="AW57" s="299" t="s">
        <v>187</v>
      </c>
      <c r="AX57" s="299" t="s">
        <v>188</v>
      </c>
      <c r="AY57" s="299"/>
      <c r="AZ57" s="299"/>
      <c r="BA57" s="299" t="s">
        <v>189</v>
      </c>
      <c r="BB57" s="299" t="s">
        <v>169</v>
      </c>
      <c r="BC57" s="299" t="s">
        <v>183</v>
      </c>
      <c r="BD57" s="299"/>
      <c r="BE57" s="299"/>
      <c r="BF57" s="299"/>
      <c r="BG57" s="299"/>
      <c r="BH57" s="299" t="s">
        <v>190</v>
      </c>
      <c r="BI57" s="299" t="s">
        <v>169</v>
      </c>
      <c r="BJ57" s="299"/>
      <c r="BK57" s="299" t="s">
        <v>191</v>
      </c>
      <c r="BL57" s="299"/>
      <c r="BM57" s="299" t="s">
        <v>192</v>
      </c>
      <c r="BN57" s="299" t="s">
        <v>193</v>
      </c>
      <c r="BO57" s="299" t="s">
        <v>194</v>
      </c>
      <c r="BP57" s="299" t="s">
        <v>195</v>
      </c>
      <c r="BQ57" s="299" t="s">
        <v>196</v>
      </c>
      <c r="BR57" s="299"/>
      <c r="BS57" s="299" t="s">
        <v>197</v>
      </c>
      <c r="BT57" s="299" t="s">
        <v>169</v>
      </c>
      <c r="BU57" s="299" t="s">
        <v>198</v>
      </c>
      <c r="BV57" s="299" t="s">
        <v>199</v>
      </c>
      <c r="BW57" s="299" t="s">
        <v>200</v>
      </c>
      <c r="BX57" s="299" t="s">
        <v>151</v>
      </c>
      <c r="BY57" s="299" t="s">
        <v>193</v>
      </c>
      <c r="BZ57" s="299" t="s">
        <v>152</v>
      </c>
      <c r="CA57" s="299" t="s">
        <v>201</v>
      </c>
      <c r="CB57" s="299" t="s">
        <v>201</v>
      </c>
      <c r="CC57" s="299" t="s">
        <v>202</v>
      </c>
      <c r="CD57" s="299" t="s">
        <v>213</v>
      </c>
      <c r="CE57" s="299" t="s">
        <v>203</v>
      </c>
      <c r="CF57" s="2"/>
    </row>
    <row r="58" spans="1:84" ht="12.65" customHeight="1" x14ac:dyDescent="0.35">
      <c r="A58" s="304" t="s">
        <v>214</v>
      </c>
      <c r="B58" s="297"/>
      <c r="C58" s="298" t="s">
        <v>215</v>
      </c>
      <c r="D58" s="299" t="s">
        <v>215</v>
      </c>
      <c r="E58" s="299" t="s">
        <v>215</v>
      </c>
      <c r="F58" s="299" t="s">
        <v>215</v>
      </c>
      <c r="G58" s="299" t="s">
        <v>215</v>
      </c>
      <c r="H58" s="299" t="s">
        <v>215</v>
      </c>
      <c r="I58" s="299" t="s">
        <v>215</v>
      </c>
      <c r="J58" s="299" t="s">
        <v>216</v>
      </c>
      <c r="K58" s="299" t="s">
        <v>215</v>
      </c>
      <c r="L58" s="299" t="s">
        <v>215</v>
      </c>
      <c r="M58" s="299" t="s">
        <v>215</v>
      </c>
      <c r="N58" s="299" t="s">
        <v>215</v>
      </c>
      <c r="O58" s="299" t="s">
        <v>217</v>
      </c>
      <c r="P58" s="299" t="s">
        <v>218</v>
      </c>
      <c r="Q58" s="299" t="s">
        <v>219</v>
      </c>
      <c r="R58" s="300" t="s">
        <v>220</v>
      </c>
      <c r="S58" s="307" t="s">
        <v>221</v>
      </c>
      <c r="T58" s="307" t="s">
        <v>221</v>
      </c>
      <c r="U58" s="299" t="s">
        <v>222</v>
      </c>
      <c r="V58" s="299" t="s">
        <v>222</v>
      </c>
      <c r="W58" s="299" t="s">
        <v>223</v>
      </c>
      <c r="X58" s="299" t="s">
        <v>224</v>
      </c>
      <c r="Y58" s="299" t="s">
        <v>225</v>
      </c>
      <c r="Z58" s="299" t="s">
        <v>225</v>
      </c>
      <c r="AA58" s="299" t="s">
        <v>225</v>
      </c>
      <c r="AB58" s="307" t="s">
        <v>221</v>
      </c>
      <c r="AC58" s="299" t="s">
        <v>226</v>
      </c>
      <c r="AD58" s="299" t="s">
        <v>227</v>
      </c>
      <c r="AE58" s="299" t="s">
        <v>226</v>
      </c>
      <c r="AF58" s="299" t="s">
        <v>228</v>
      </c>
      <c r="AG58" s="299" t="s">
        <v>228</v>
      </c>
      <c r="AH58" s="299" t="s">
        <v>229</v>
      </c>
      <c r="AI58" s="299" t="s">
        <v>230</v>
      </c>
      <c r="AJ58" s="299" t="s">
        <v>228</v>
      </c>
      <c r="AK58" s="299" t="s">
        <v>226</v>
      </c>
      <c r="AL58" s="299" t="s">
        <v>226</v>
      </c>
      <c r="AM58" s="299" t="s">
        <v>226</v>
      </c>
      <c r="AN58" s="299" t="s">
        <v>217</v>
      </c>
      <c r="AO58" s="299" t="s">
        <v>227</v>
      </c>
      <c r="AP58" s="299" t="s">
        <v>228</v>
      </c>
      <c r="AQ58" s="299" t="s">
        <v>229</v>
      </c>
      <c r="AR58" s="299" t="s">
        <v>228</v>
      </c>
      <c r="AS58" s="299" t="s">
        <v>226</v>
      </c>
      <c r="AT58" s="299" t="s">
        <v>1212</v>
      </c>
      <c r="AU58" s="299" t="s">
        <v>228</v>
      </c>
      <c r="AV58" s="307" t="s">
        <v>221</v>
      </c>
      <c r="AW58" s="307" t="s">
        <v>221</v>
      </c>
      <c r="AX58" s="307" t="s">
        <v>221</v>
      </c>
      <c r="AY58" s="299" t="s">
        <v>231</v>
      </c>
      <c r="AZ58" s="299" t="s">
        <v>231</v>
      </c>
      <c r="BA58" s="307" t="s">
        <v>221</v>
      </c>
      <c r="BB58" s="307" t="s">
        <v>221</v>
      </c>
      <c r="BC58" s="307" t="s">
        <v>221</v>
      </c>
      <c r="BD58" s="307" t="s">
        <v>221</v>
      </c>
      <c r="BE58" s="299" t="s">
        <v>232</v>
      </c>
      <c r="BF58" s="307" t="s">
        <v>221</v>
      </c>
      <c r="BG58" s="307" t="s">
        <v>221</v>
      </c>
      <c r="BH58" s="307" t="s">
        <v>221</v>
      </c>
      <c r="BI58" s="307" t="s">
        <v>221</v>
      </c>
      <c r="BJ58" s="307" t="s">
        <v>221</v>
      </c>
      <c r="BK58" s="307" t="s">
        <v>221</v>
      </c>
      <c r="BL58" s="307" t="s">
        <v>221</v>
      </c>
      <c r="BM58" s="307" t="s">
        <v>221</v>
      </c>
      <c r="BN58" s="307" t="s">
        <v>221</v>
      </c>
      <c r="BO58" s="307" t="s">
        <v>221</v>
      </c>
      <c r="BP58" s="307" t="s">
        <v>221</v>
      </c>
      <c r="BQ58" s="307" t="s">
        <v>221</v>
      </c>
      <c r="BR58" s="307" t="s">
        <v>221</v>
      </c>
      <c r="BS58" s="307" t="s">
        <v>221</v>
      </c>
      <c r="BT58" s="307" t="s">
        <v>221</v>
      </c>
      <c r="BU58" s="307" t="s">
        <v>221</v>
      </c>
      <c r="BV58" s="307" t="s">
        <v>221</v>
      </c>
      <c r="BW58" s="307" t="s">
        <v>221</v>
      </c>
      <c r="BX58" s="307" t="s">
        <v>221</v>
      </c>
      <c r="BY58" s="307" t="s">
        <v>221</v>
      </c>
      <c r="BZ58" s="307" t="s">
        <v>221</v>
      </c>
      <c r="CA58" s="307" t="s">
        <v>221</v>
      </c>
      <c r="CB58" s="307" t="s">
        <v>221</v>
      </c>
      <c r="CC58" s="307" t="s">
        <v>221</v>
      </c>
      <c r="CD58" s="307" t="s">
        <v>221</v>
      </c>
      <c r="CE58" s="307" t="s">
        <v>221</v>
      </c>
      <c r="CF58" s="2"/>
    </row>
    <row r="59" spans="1:84" ht="12.65" customHeight="1" x14ac:dyDescent="0.35">
      <c r="A59" s="304" t="s">
        <v>233</v>
      </c>
      <c r="B59" s="297"/>
      <c r="C59" s="302">
        <f>7665+37849</f>
        <v>45514</v>
      </c>
      <c r="D59" s="302"/>
      <c r="E59" s="302">
        <v>9669</v>
      </c>
      <c r="F59" s="302"/>
      <c r="G59" s="302"/>
      <c r="H59" s="302"/>
      <c r="I59" s="302"/>
      <c r="J59" s="302">
        <v>1113</v>
      </c>
      <c r="K59" s="302"/>
      <c r="L59" s="302"/>
      <c r="M59" s="302"/>
      <c r="N59" s="302"/>
      <c r="O59" s="302">
        <v>1398</v>
      </c>
      <c r="P59" s="185">
        <v>463375</v>
      </c>
      <c r="Q59" s="185">
        <v>350167</v>
      </c>
      <c r="R59" s="185">
        <v>522284</v>
      </c>
      <c r="S59" s="249"/>
      <c r="T59" s="249"/>
      <c r="U59" s="224">
        <f>252686+10564+2362</f>
        <v>265612</v>
      </c>
      <c r="V59" s="185"/>
      <c r="W59" s="185">
        <v>865</v>
      </c>
      <c r="X59" s="185">
        <f>7984+10808</f>
        <v>18792</v>
      </c>
      <c r="Y59" s="185">
        <f>6148+4006+14450+3536+1184+1280</f>
        <v>30604</v>
      </c>
      <c r="Z59" s="185">
        <v>14150</v>
      </c>
      <c r="AA59" s="185">
        <v>1929</v>
      </c>
      <c r="AB59" s="249"/>
      <c r="AC59" s="185">
        <f>2458+17197</f>
        <v>19655</v>
      </c>
      <c r="AD59" s="185"/>
      <c r="AE59" s="185">
        <v>32251</v>
      </c>
      <c r="AF59" s="185"/>
      <c r="AG59" s="185">
        <v>20552</v>
      </c>
      <c r="AH59" s="185"/>
      <c r="AI59" s="185">
        <f>635+9381</f>
        <v>10016</v>
      </c>
      <c r="AJ59" s="185"/>
      <c r="AK59" s="185">
        <v>4806</v>
      </c>
      <c r="AL59" s="185">
        <v>876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>
        <v>56623</v>
      </c>
      <c r="AZ59" s="185"/>
      <c r="BA59" s="249"/>
      <c r="BB59" s="249"/>
      <c r="BC59" s="249"/>
      <c r="BD59" s="249"/>
      <c r="BE59" s="185">
        <v>155374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307"/>
      <c r="CE59" s="297"/>
      <c r="CF59" s="2"/>
    </row>
    <row r="60" spans="1:84" ht="12.65" customHeight="1" x14ac:dyDescent="0.35">
      <c r="A60" s="308" t="s">
        <v>234</v>
      </c>
      <c r="B60" s="297"/>
      <c r="C60" s="187">
        <f>60.98-0.1+4.33</f>
        <v>65.209999999999994</v>
      </c>
      <c r="D60" s="187"/>
      <c r="E60" s="187">
        <v>54.02</v>
      </c>
      <c r="F60" s="223"/>
      <c r="G60" s="187"/>
      <c r="H60" s="187"/>
      <c r="I60" s="187"/>
      <c r="J60" s="223">
        <v>3.12</v>
      </c>
      <c r="K60" s="187"/>
      <c r="L60" s="187"/>
      <c r="M60" s="187"/>
      <c r="N60" s="187"/>
      <c r="O60" s="187">
        <v>22.56</v>
      </c>
      <c r="P60" s="221">
        <v>27.68</v>
      </c>
      <c r="Q60" s="221">
        <v>7.14</v>
      </c>
      <c r="R60" s="221">
        <v>1.95</v>
      </c>
      <c r="S60" s="221">
        <v>12.15</v>
      </c>
      <c r="T60" s="221"/>
      <c r="U60" s="221">
        <f>21.18</f>
        <v>21.18</v>
      </c>
      <c r="V60" s="221"/>
      <c r="W60" s="221">
        <v>1.44</v>
      </c>
      <c r="X60" s="221">
        <f>2.12+3.65</f>
        <v>5.77</v>
      </c>
      <c r="Y60" s="221">
        <f>3.14+1.07+9.49+3.85+1.45+10.36-0.49</f>
        <v>28.87</v>
      </c>
      <c r="Z60" s="221">
        <v>5.37</v>
      </c>
      <c r="AA60" s="221">
        <v>1.25</v>
      </c>
      <c r="AB60" s="221">
        <f>12.8+1.04</f>
        <v>13.84</v>
      </c>
      <c r="AC60" s="221">
        <f>2.15+8.06</f>
        <v>10.210000000000001</v>
      </c>
      <c r="AD60" s="221"/>
      <c r="AE60" s="221">
        <v>9.99</v>
      </c>
      <c r="AF60" s="221"/>
      <c r="AG60" s="221">
        <v>27.74</v>
      </c>
      <c r="AH60" s="221"/>
      <c r="AI60" s="221">
        <f>2.86+18.77</f>
        <v>21.63</v>
      </c>
      <c r="AJ60" s="221"/>
      <c r="AK60" s="221">
        <v>0.88</v>
      </c>
      <c r="AL60" s="221">
        <v>0.5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3.96</v>
      </c>
      <c r="AW60" s="221"/>
      <c r="AX60" s="221"/>
      <c r="AY60" s="221">
        <v>18.72</v>
      </c>
      <c r="AZ60" s="221"/>
      <c r="BA60" s="221"/>
      <c r="BB60" s="221">
        <f>1.32+6.98</f>
        <v>8.3000000000000007</v>
      </c>
      <c r="BC60" s="221"/>
      <c r="BD60" s="221">
        <v>6.49</v>
      </c>
      <c r="BE60" s="221">
        <f>6.69+5.17</f>
        <v>11.86</v>
      </c>
      <c r="BF60" s="221">
        <v>21.83</v>
      </c>
      <c r="BG60" s="221">
        <v>2.54</v>
      </c>
      <c r="BH60" s="221">
        <v>4.87</v>
      </c>
      <c r="BI60" s="221"/>
      <c r="BJ60" s="221">
        <v>4.5</v>
      </c>
      <c r="BK60" s="221"/>
      <c r="BL60" s="221">
        <f>17.2+2.59</f>
        <v>19.79</v>
      </c>
      <c r="BM60" s="221"/>
      <c r="BN60" s="221">
        <f>6.47+0.8</f>
        <v>7.27</v>
      </c>
      <c r="BO60" s="221"/>
      <c r="BP60" s="221">
        <v>1.06</v>
      </c>
      <c r="BQ60" s="221"/>
      <c r="BR60" s="221">
        <f>3.1+0.44</f>
        <v>3.54</v>
      </c>
      <c r="BS60" s="221"/>
      <c r="BT60" s="221"/>
      <c r="BU60" s="221"/>
      <c r="BV60" s="221">
        <v>11.17</v>
      </c>
      <c r="BW60" s="221">
        <v>1.27</v>
      </c>
      <c r="BX60" s="221">
        <v>2.5299999999999998</v>
      </c>
      <c r="BY60" s="221">
        <f>6.35+3.89</f>
        <v>10.24</v>
      </c>
      <c r="BZ60" s="221"/>
      <c r="CA60" s="221">
        <v>1.62</v>
      </c>
      <c r="CB60" s="221"/>
      <c r="CC60" s="221"/>
      <c r="CD60" s="307" t="s">
        <v>221</v>
      </c>
      <c r="CE60" s="309">
        <f t="shared" ref="CE60:CE70" si="0">SUM(C60:CD60)</f>
        <v>484.06</v>
      </c>
      <c r="CF60" s="2"/>
    </row>
    <row r="61" spans="1:84" ht="12.65" customHeight="1" x14ac:dyDescent="0.35">
      <c r="A61" s="304" t="s">
        <v>235</v>
      </c>
      <c r="B61" s="297"/>
      <c r="C61" s="302">
        <f>5424396-7621+202206</f>
        <v>5618981</v>
      </c>
      <c r="D61" s="302"/>
      <c r="E61" s="302">
        <f>4481655</f>
        <v>4481655</v>
      </c>
      <c r="F61" s="185"/>
      <c r="G61" s="302"/>
      <c r="H61" s="302"/>
      <c r="I61" s="185"/>
      <c r="J61" s="185">
        <v>440333</v>
      </c>
      <c r="K61" s="185"/>
      <c r="L61" s="185"/>
      <c r="M61" s="302"/>
      <c r="N61" s="302"/>
      <c r="O61" s="302">
        <f>2291421</f>
        <v>2291421</v>
      </c>
      <c r="P61" s="185">
        <f>2059602</f>
        <v>2059602</v>
      </c>
      <c r="Q61" s="185">
        <f>885713</f>
        <v>885713</v>
      </c>
      <c r="R61" s="185">
        <f>171420</f>
        <v>171420</v>
      </c>
      <c r="S61" s="185">
        <f>415673</f>
        <v>415673</v>
      </c>
      <c r="T61" s="185"/>
      <c r="U61" s="185">
        <f>1524429</f>
        <v>1524429</v>
      </c>
      <c r="V61" s="185"/>
      <c r="W61" s="185">
        <v>170297</v>
      </c>
      <c r="X61" s="185">
        <f>194382+338252</f>
        <v>532634</v>
      </c>
      <c r="Y61" s="185">
        <f>239700+73850+889636+474788+174370+1017936</f>
        <v>2870280</v>
      </c>
      <c r="Z61" s="185">
        <f>514544</f>
        <v>514544</v>
      </c>
      <c r="AA61" s="185">
        <f>174455</f>
        <v>174455</v>
      </c>
      <c r="AB61" s="185">
        <f>1282039+128213</f>
        <v>1410252</v>
      </c>
      <c r="AC61" s="185">
        <f>276822+684111</f>
        <v>960933</v>
      </c>
      <c r="AD61" s="185"/>
      <c r="AE61" s="185">
        <f>748095</f>
        <v>748095</v>
      </c>
      <c r="AF61" s="185"/>
      <c r="AG61" s="185">
        <f>2768623</f>
        <v>2768623</v>
      </c>
      <c r="AH61" s="185"/>
      <c r="AI61" s="185">
        <f>278376+1574370</f>
        <v>1852746</v>
      </c>
      <c r="AJ61" s="185"/>
      <c r="AK61" s="185">
        <f>93389</f>
        <v>93389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300604</v>
      </c>
      <c r="AW61" s="185"/>
      <c r="AX61" s="185"/>
      <c r="AY61" s="185">
        <f>917259</f>
        <v>917259</v>
      </c>
      <c r="AZ61" s="185"/>
      <c r="BA61" s="185"/>
      <c r="BB61" s="185">
        <f>150866+647241</f>
        <v>798107</v>
      </c>
      <c r="BC61" s="185"/>
      <c r="BD61" s="185">
        <f>384458</f>
        <v>384458</v>
      </c>
      <c r="BE61" s="185">
        <f>526167+241578</f>
        <v>767745</v>
      </c>
      <c r="BF61" s="185">
        <f>864957</f>
        <v>864957</v>
      </c>
      <c r="BG61" s="185">
        <f>88732</f>
        <v>88732</v>
      </c>
      <c r="BH61" s="185">
        <f>397712</f>
        <v>397712</v>
      </c>
      <c r="BI61" s="185"/>
      <c r="BJ61" s="185">
        <f>321230</f>
        <v>321230</v>
      </c>
      <c r="BK61" s="185"/>
      <c r="BL61" s="185">
        <f>770155+132052</f>
        <v>902207</v>
      </c>
      <c r="BM61" s="185"/>
      <c r="BN61" s="185">
        <f>1394756+80359</f>
        <v>1475115</v>
      </c>
      <c r="BO61" s="185"/>
      <c r="BP61" s="185">
        <f>64368</f>
        <v>64368</v>
      </c>
      <c r="BQ61" s="185"/>
      <c r="BR61" s="185">
        <f>252020+46035-4</f>
        <v>298051</v>
      </c>
      <c r="BS61" s="185"/>
      <c r="BT61" s="185"/>
      <c r="BU61" s="185"/>
      <c r="BV61" s="185">
        <v>639572</v>
      </c>
      <c r="BW61" s="185">
        <v>103536</v>
      </c>
      <c r="BX61" s="185">
        <v>246909</v>
      </c>
      <c r="BY61" s="185">
        <f>743188+415246</f>
        <v>1158434</v>
      </c>
      <c r="BZ61" s="185"/>
      <c r="CA61" s="185">
        <v>186578</v>
      </c>
      <c r="CB61" s="185"/>
      <c r="CC61" s="185"/>
      <c r="CD61" s="307" t="s">
        <v>221</v>
      </c>
      <c r="CE61" s="297">
        <f t="shared" si="0"/>
        <v>39901049</v>
      </c>
      <c r="CF61" s="2"/>
    </row>
    <row r="62" spans="1:84" ht="12.65" customHeight="1" x14ac:dyDescent="0.35">
      <c r="A62" s="304" t="s">
        <v>3</v>
      </c>
      <c r="B62" s="297"/>
      <c r="C62" s="297">
        <f t="shared" ref="C62:BN62" si="1">ROUND(C47+C48,0)</f>
        <v>973082</v>
      </c>
      <c r="D62" s="297">
        <f t="shared" si="1"/>
        <v>0</v>
      </c>
      <c r="E62" s="297">
        <f t="shared" si="1"/>
        <v>768481</v>
      </c>
      <c r="F62" s="297">
        <f t="shared" si="1"/>
        <v>0</v>
      </c>
      <c r="G62" s="297">
        <f t="shared" si="1"/>
        <v>0</v>
      </c>
      <c r="H62" s="297">
        <f t="shared" si="1"/>
        <v>0</v>
      </c>
      <c r="I62" s="297">
        <f t="shared" si="1"/>
        <v>0</v>
      </c>
      <c r="J62" s="297">
        <f>ROUND(J47+J48,0)</f>
        <v>75407</v>
      </c>
      <c r="K62" s="297">
        <f t="shared" si="1"/>
        <v>0</v>
      </c>
      <c r="L62" s="297">
        <f t="shared" si="1"/>
        <v>0</v>
      </c>
      <c r="M62" s="297">
        <f t="shared" si="1"/>
        <v>0</v>
      </c>
      <c r="N62" s="297">
        <f t="shared" si="1"/>
        <v>0</v>
      </c>
      <c r="O62" s="297">
        <f t="shared" si="1"/>
        <v>397699</v>
      </c>
      <c r="P62" s="297">
        <f t="shared" si="1"/>
        <v>356748</v>
      </c>
      <c r="Q62" s="297">
        <f t="shared" si="1"/>
        <v>153932</v>
      </c>
      <c r="R62" s="297">
        <f t="shared" si="1"/>
        <v>29266</v>
      </c>
      <c r="S62" s="297">
        <f t="shared" si="1"/>
        <v>72010</v>
      </c>
      <c r="T62" s="297">
        <f t="shared" si="1"/>
        <v>0</v>
      </c>
      <c r="U62" s="297">
        <f t="shared" si="1"/>
        <v>265814</v>
      </c>
      <c r="V62" s="297">
        <f t="shared" si="1"/>
        <v>0</v>
      </c>
      <c r="W62" s="297">
        <f t="shared" si="1"/>
        <v>29120</v>
      </c>
      <c r="X62" s="297">
        <f t="shared" si="1"/>
        <v>67827</v>
      </c>
      <c r="Y62" s="297">
        <f t="shared" si="1"/>
        <v>523454</v>
      </c>
      <c r="Z62" s="297">
        <f t="shared" si="1"/>
        <v>89001</v>
      </c>
      <c r="AA62" s="297">
        <f t="shared" si="1"/>
        <v>30357</v>
      </c>
      <c r="AB62" s="297">
        <f t="shared" si="1"/>
        <v>243954</v>
      </c>
      <c r="AC62" s="297">
        <f t="shared" si="1"/>
        <v>166385</v>
      </c>
      <c r="AD62" s="297">
        <f t="shared" si="1"/>
        <v>0</v>
      </c>
      <c r="AE62" s="297">
        <f t="shared" si="1"/>
        <v>130249</v>
      </c>
      <c r="AF62" s="297">
        <f t="shared" si="1"/>
        <v>0</v>
      </c>
      <c r="AG62" s="297">
        <f t="shared" si="1"/>
        <v>478577</v>
      </c>
      <c r="AH62" s="297">
        <f t="shared" si="1"/>
        <v>0</v>
      </c>
      <c r="AI62" s="297">
        <f t="shared" si="1"/>
        <v>320784</v>
      </c>
      <c r="AJ62" s="297">
        <f t="shared" si="1"/>
        <v>0</v>
      </c>
      <c r="AK62" s="297">
        <f t="shared" si="1"/>
        <v>16421</v>
      </c>
      <c r="AL62" s="297">
        <f t="shared" si="1"/>
        <v>0</v>
      </c>
      <c r="AM62" s="297">
        <f t="shared" si="1"/>
        <v>0</v>
      </c>
      <c r="AN62" s="297">
        <f t="shared" si="1"/>
        <v>0</v>
      </c>
      <c r="AO62" s="297">
        <f t="shared" si="1"/>
        <v>0</v>
      </c>
      <c r="AP62" s="297">
        <f t="shared" si="1"/>
        <v>0</v>
      </c>
      <c r="AQ62" s="297">
        <f t="shared" si="1"/>
        <v>0</v>
      </c>
      <c r="AR62" s="297">
        <f t="shared" si="1"/>
        <v>0</v>
      </c>
      <c r="AS62" s="297">
        <f t="shared" si="1"/>
        <v>0</v>
      </c>
      <c r="AT62" s="297">
        <f t="shared" si="1"/>
        <v>0</v>
      </c>
      <c r="AU62" s="297">
        <f t="shared" si="1"/>
        <v>0</v>
      </c>
      <c r="AV62" s="297">
        <f t="shared" si="1"/>
        <v>51872</v>
      </c>
      <c r="AW62" s="297">
        <f t="shared" si="1"/>
        <v>0</v>
      </c>
      <c r="AX62" s="297">
        <f t="shared" si="1"/>
        <v>0</v>
      </c>
      <c r="AY62" s="297">
        <f>ROUND(AY47+AY48,0)</f>
        <v>158971</v>
      </c>
      <c r="AZ62" s="297">
        <f>ROUND(AZ47+AZ48,0)</f>
        <v>0</v>
      </c>
      <c r="BA62" s="297">
        <f>ROUND(BA47+BA48,0)</f>
        <v>0</v>
      </c>
      <c r="BB62" s="297">
        <f t="shared" si="1"/>
        <v>138556</v>
      </c>
      <c r="BC62" s="297">
        <f t="shared" si="1"/>
        <v>0</v>
      </c>
      <c r="BD62" s="297">
        <f t="shared" si="1"/>
        <v>66501</v>
      </c>
      <c r="BE62" s="297">
        <f t="shared" si="1"/>
        <v>132932</v>
      </c>
      <c r="BF62" s="297">
        <f t="shared" si="1"/>
        <v>150534</v>
      </c>
      <c r="BG62" s="297">
        <f t="shared" si="1"/>
        <v>15371</v>
      </c>
      <c r="BH62" s="297">
        <f t="shared" si="1"/>
        <v>69280</v>
      </c>
      <c r="BI62" s="297">
        <f t="shared" si="1"/>
        <v>0</v>
      </c>
      <c r="BJ62" s="297">
        <f t="shared" si="1"/>
        <v>54691</v>
      </c>
      <c r="BK62" s="297">
        <f t="shared" si="1"/>
        <v>0</v>
      </c>
      <c r="BL62" s="297">
        <f t="shared" si="1"/>
        <v>156437</v>
      </c>
      <c r="BM62" s="297">
        <f t="shared" si="1"/>
        <v>0</v>
      </c>
      <c r="BN62" s="297">
        <f t="shared" si="1"/>
        <v>172133</v>
      </c>
      <c r="BO62" s="297">
        <f t="shared" ref="BO62:CC62" si="2">ROUND(BO47+BO48,0)</f>
        <v>0</v>
      </c>
      <c r="BP62" s="297">
        <f t="shared" si="2"/>
        <v>11247</v>
      </c>
      <c r="BQ62" s="297">
        <f t="shared" si="2"/>
        <v>0</v>
      </c>
      <c r="BR62" s="297">
        <f t="shared" si="2"/>
        <v>51544</v>
      </c>
      <c r="BS62" s="297">
        <f t="shared" si="2"/>
        <v>0</v>
      </c>
      <c r="BT62" s="297">
        <f t="shared" si="2"/>
        <v>0</v>
      </c>
      <c r="BU62" s="297">
        <f t="shared" si="2"/>
        <v>0</v>
      </c>
      <c r="BV62" s="297">
        <f t="shared" si="2"/>
        <v>109245</v>
      </c>
      <c r="BW62" s="297">
        <f t="shared" si="2"/>
        <v>18393</v>
      </c>
      <c r="BX62" s="297">
        <f t="shared" si="2"/>
        <v>43631</v>
      </c>
      <c r="BY62" s="297">
        <f t="shared" si="2"/>
        <v>202341</v>
      </c>
      <c r="BZ62" s="297">
        <f t="shared" si="2"/>
        <v>0</v>
      </c>
      <c r="CA62" s="297">
        <f t="shared" si="2"/>
        <v>32929</v>
      </c>
      <c r="CB62" s="297">
        <f t="shared" si="2"/>
        <v>0</v>
      </c>
      <c r="CC62" s="297">
        <f t="shared" si="2"/>
        <v>0</v>
      </c>
      <c r="CD62" s="307" t="s">
        <v>221</v>
      </c>
      <c r="CE62" s="297">
        <f t="shared" si="0"/>
        <v>6825176</v>
      </c>
      <c r="CF62" s="2"/>
    </row>
    <row r="63" spans="1:84" ht="12.65" customHeight="1" x14ac:dyDescent="0.35">
      <c r="A63" s="304" t="s">
        <v>236</v>
      </c>
      <c r="B63" s="297"/>
      <c r="C63" s="302">
        <v>540083</v>
      </c>
      <c r="D63" s="302"/>
      <c r="E63" s="302">
        <v>0</v>
      </c>
      <c r="F63" s="185"/>
      <c r="G63" s="302"/>
      <c r="H63" s="302"/>
      <c r="I63" s="185"/>
      <c r="J63" s="185">
        <v>6975</v>
      </c>
      <c r="K63" s="185"/>
      <c r="L63" s="185"/>
      <c r="M63" s="302"/>
      <c r="N63" s="302"/>
      <c r="O63" s="302">
        <v>69710</v>
      </c>
      <c r="P63" s="185">
        <v>-5902</v>
      </c>
      <c r="Q63" s="185"/>
      <c r="R63" s="185">
        <v>1105830</v>
      </c>
      <c r="S63" s="185"/>
      <c r="T63" s="185"/>
      <c r="U63" s="185">
        <v>37166</v>
      </c>
      <c r="V63" s="185"/>
      <c r="W63" s="185"/>
      <c r="X63" s="185"/>
      <c r="Y63" s="185">
        <f>16475+13088</f>
        <v>29563</v>
      </c>
      <c r="Z63" s="185"/>
      <c r="AA63" s="185"/>
      <c r="AB63" s="185"/>
      <c r="AC63" s="185">
        <f>34758+6000</f>
        <v>40758</v>
      </c>
      <c r="AD63" s="185"/>
      <c r="AE63" s="185"/>
      <c r="AF63" s="185"/>
      <c r="AG63" s="185">
        <f>107331</f>
        <v>107331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f>-225+318362+1041462+1</f>
        <v>1359600</v>
      </c>
      <c r="AW63" s="185"/>
      <c r="AX63" s="185"/>
      <c r="AY63" s="185"/>
      <c r="AZ63" s="185"/>
      <c r="BA63" s="185"/>
      <c r="BB63" s="185">
        <v>54996</v>
      </c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>
        <f>19275-1</f>
        <v>19274</v>
      </c>
      <c r="BY63" s="185"/>
      <c r="BZ63" s="185"/>
      <c r="CA63" s="185"/>
      <c r="CB63" s="185"/>
      <c r="CC63" s="185"/>
      <c r="CD63" s="307" t="s">
        <v>221</v>
      </c>
      <c r="CE63" s="297">
        <f t="shared" si="0"/>
        <v>3365384</v>
      </c>
      <c r="CF63" s="2"/>
    </row>
    <row r="64" spans="1:84" ht="12.65" customHeight="1" x14ac:dyDescent="0.35">
      <c r="A64" s="304" t="s">
        <v>237</v>
      </c>
      <c r="B64" s="297"/>
      <c r="C64" s="302">
        <f>288678+115</f>
        <v>288793</v>
      </c>
      <c r="D64" s="302"/>
      <c r="E64" s="302">
        <v>247486</v>
      </c>
      <c r="F64" s="185"/>
      <c r="G64" s="302"/>
      <c r="H64" s="302"/>
      <c r="I64" s="185"/>
      <c r="J64" s="185">
        <v>42804</v>
      </c>
      <c r="K64" s="185"/>
      <c r="L64" s="185"/>
      <c r="M64" s="302"/>
      <c r="N64" s="302"/>
      <c r="O64" s="302">
        <v>144734</v>
      </c>
      <c r="P64" s="185">
        <v>1105839</v>
      </c>
      <c r="Q64" s="185">
        <v>37113</v>
      </c>
      <c r="R64" s="185">
        <v>155894</v>
      </c>
      <c r="S64" s="185">
        <v>171821</v>
      </c>
      <c r="T64" s="185"/>
      <c r="U64" s="185">
        <f>627740+489813</f>
        <v>1117553</v>
      </c>
      <c r="V64" s="185"/>
      <c r="W64" s="185">
        <v>1522</v>
      </c>
      <c r="X64" s="185">
        <f>29051+39295</f>
        <v>68346</v>
      </c>
      <c r="Y64" s="185">
        <f>6450+254702-36277+10858+1219+87760</f>
        <v>324712</v>
      </c>
      <c r="Z64" s="185">
        <v>10601</v>
      </c>
      <c r="AA64" s="185">
        <v>7394</v>
      </c>
      <c r="AB64" s="185">
        <f>2482322+1442</f>
        <v>2483764</v>
      </c>
      <c r="AC64" s="185">
        <f>3970+78128</f>
        <v>82098</v>
      </c>
      <c r="AD64" s="185"/>
      <c r="AE64" s="185">
        <v>13623</v>
      </c>
      <c r="AF64" s="185"/>
      <c r="AG64" s="185">
        <v>133545</v>
      </c>
      <c r="AH64" s="185"/>
      <c r="AI64" s="185">
        <f>51929+236392</f>
        <v>288321</v>
      </c>
      <c r="AJ64" s="185"/>
      <c r="AK64" s="185">
        <v>2426</v>
      </c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127660-12076-6</f>
        <v>115578</v>
      </c>
      <c r="AW64" s="185"/>
      <c r="AX64" s="185"/>
      <c r="AY64" s="185">
        <v>666953</v>
      </c>
      <c r="AZ64" s="185"/>
      <c r="BA64" s="185"/>
      <c r="BB64" s="185">
        <f>2581+66</f>
        <v>2647</v>
      </c>
      <c r="BC64" s="185"/>
      <c r="BD64" s="185">
        <f>4219246+11633658</f>
        <v>15852904</v>
      </c>
      <c r="BE64" s="185">
        <f>22376+5419</f>
        <v>27795</v>
      </c>
      <c r="BF64" s="185">
        <f>106255</f>
        <v>106255</v>
      </c>
      <c r="BG64" s="185">
        <v>78</v>
      </c>
      <c r="BH64" s="185">
        <v>46759</v>
      </c>
      <c r="BI64" s="185"/>
      <c r="BJ64" s="185">
        <v>3006</v>
      </c>
      <c r="BK64" s="185"/>
      <c r="BL64" s="185">
        <f>42129</f>
        <v>42129</v>
      </c>
      <c r="BM64" s="185"/>
      <c r="BN64" s="185">
        <f>23774+380+20+828</f>
        <v>25002</v>
      </c>
      <c r="BO64" s="185"/>
      <c r="BP64" s="185">
        <v>21709</v>
      </c>
      <c r="BQ64" s="185"/>
      <c r="BR64" s="185">
        <f>8871</f>
        <v>8871</v>
      </c>
      <c r="BS64" s="185"/>
      <c r="BT64" s="185"/>
      <c r="BU64" s="185"/>
      <c r="BV64" s="185">
        <v>16350</v>
      </c>
      <c r="BW64" s="185">
        <v>1263</v>
      </c>
      <c r="BX64" s="185">
        <f>9575+6</f>
        <v>9581</v>
      </c>
      <c r="BY64" s="185">
        <f>470+10929</f>
        <v>11399</v>
      </c>
      <c r="BZ64" s="185"/>
      <c r="CA64" s="185">
        <v>393</v>
      </c>
      <c r="CB64" s="185"/>
      <c r="CC64" s="185"/>
      <c r="CD64" s="307" t="s">
        <v>221</v>
      </c>
      <c r="CE64" s="297">
        <f t="shared" si="0"/>
        <v>23687061</v>
      </c>
      <c r="CF64" s="2"/>
    </row>
    <row r="65" spans="1:84" ht="12.65" customHeight="1" x14ac:dyDescent="0.35">
      <c r="A65" s="304" t="s">
        <v>238</v>
      </c>
      <c r="B65" s="297"/>
      <c r="C65" s="302">
        <v>50</v>
      </c>
      <c r="D65" s="302"/>
      <c r="E65" s="302"/>
      <c r="F65" s="302"/>
      <c r="G65" s="302"/>
      <c r="H65" s="302"/>
      <c r="I65" s="185"/>
      <c r="J65" s="302"/>
      <c r="K65" s="185"/>
      <c r="L65" s="185"/>
      <c r="M65" s="302"/>
      <c r="N65" s="302"/>
      <c r="O65" s="302"/>
      <c r="P65" s="185"/>
      <c r="Q65" s="185"/>
      <c r="R65" s="185"/>
      <c r="S65" s="185"/>
      <c r="T65" s="185"/>
      <c r="U65" s="185"/>
      <c r="V65" s="185"/>
      <c r="W65" s="185"/>
      <c r="X65" s="185">
        <f>4388</f>
        <v>4388</v>
      </c>
      <c r="Y65" s="185"/>
      <c r="Z65" s="185"/>
      <c r="AA65" s="185"/>
      <c r="AB65" s="185"/>
      <c r="AC65" s="185"/>
      <c r="AD65" s="185"/>
      <c r="AE65" s="185">
        <v>2185</v>
      </c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798</v>
      </c>
      <c r="AW65" s="185"/>
      <c r="AX65" s="185"/>
      <c r="AY65" s="185"/>
      <c r="AZ65" s="185"/>
      <c r="BA65" s="185"/>
      <c r="BB65" s="185"/>
      <c r="BC65" s="185"/>
      <c r="BD65" s="185"/>
      <c r="BE65" s="185">
        <f>936158</f>
        <v>936158</v>
      </c>
      <c r="BF65" s="185"/>
      <c r="BG65" s="185">
        <v>211139</v>
      </c>
      <c r="BH65" s="185"/>
      <c r="BI65" s="185"/>
      <c r="BJ65" s="185"/>
      <c r="BK65" s="185"/>
      <c r="BL65" s="185"/>
      <c r="BM65" s="185"/>
      <c r="BN65" s="185">
        <v>45</v>
      </c>
      <c r="BO65" s="185"/>
      <c r="BP65" s="185"/>
      <c r="BQ65" s="185"/>
      <c r="BR65" s="185"/>
      <c r="BS65" s="185"/>
      <c r="BT65" s="185"/>
      <c r="BU65" s="185"/>
      <c r="BV65" s="185">
        <v>23</v>
      </c>
      <c r="BW65" s="185"/>
      <c r="BX65" s="185"/>
      <c r="BY65" s="185"/>
      <c r="BZ65" s="185"/>
      <c r="CA65" s="185"/>
      <c r="CB65" s="185"/>
      <c r="CC65" s="185"/>
      <c r="CD65" s="307" t="s">
        <v>221</v>
      </c>
      <c r="CE65" s="297">
        <f t="shared" si="0"/>
        <v>1154786</v>
      </c>
      <c r="CF65" s="2"/>
    </row>
    <row r="66" spans="1:84" ht="12.65" customHeight="1" x14ac:dyDescent="0.35">
      <c r="A66" s="304" t="s">
        <v>239</v>
      </c>
      <c r="B66" s="297"/>
      <c r="C66" s="302">
        <v>4466</v>
      </c>
      <c r="D66" s="302"/>
      <c r="E66" s="302">
        <v>830</v>
      </c>
      <c r="F66" s="302"/>
      <c r="G66" s="302"/>
      <c r="H66" s="302"/>
      <c r="I66" s="302"/>
      <c r="J66" s="302">
        <v>60269</v>
      </c>
      <c r="K66" s="185"/>
      <c r="L66" s="185"/>
      <c r="M66" s="302"/>
      <c r="N66" s="302"/>
      <c r="O66" s="185">
        <v>500</v>
      </c>
      <c r="P66" s="185">
        <v>611415</v>
      </c>
      <c r="Q66" s="185">
        <v>3</v>
      </c>
      <c r="R66" s="185">
        <v>323</v>
      </c>
      <c r="S66" s="302">
        <v>72157</v>
      </c>
      <c r="T66" s="302"/>
      <c r="U66" s="185">
        <f>10312+480872</f>
        <v>491184</v>
      </c>
      <c r="V66" s="185"/>
      <c r="W66" s="185"/>
      <c r="X66" s="185">
        <f>1435+69845+386657</f>
        <v>457937</v>
      </c>
      <c r="Y66" s="185">
        <f>89+1718+46+23+398</f>
        <v>2274</v>
      </c>
      <c r="Z66" s="185">
        <f>478579</f>
        <v>478579</v>
      </c>
      <c r="AA66" s="185">
        <f>797</f>
        <v>797</v>
      </c>
      <c r="AB66" s="302">
        <f>109004+179</f>
        <v>109183</v>
      </c>
      <c r="AC66" s="185">
        <v>6953</v>
      </c>
      <c r="AD66" s="185"/>
      <c r="AE66" s="185">
        <v>14688</v>
      </c>
      <c r="AF66" s="185"/>
      <c r="AG66" s="185">
        <v>40734</v>
      </c>
      <c r="AH66" s="185"/>
      <c r="AI66" s="185">
        <f>6+673</f>
        <v>679</v>
      </c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984542</v>
      </c>
      <c r="AW66" s="185"/>
      <c r="AX66" s="185"/>
      <c r="AY66" s="185">
        <v>5156</v>
      </c>
      <c r="AZ66" s="185"/>
      <c r="BA66" s="185"/>
      <c r="BB66" s="185">
        <f>41499</f>
        <v>41499</v>
      </c>
      <c r="BC66" s="185"/>
      <c r="BD66" s="185">
        <v>17838</v>
      </c>
      <c r="BE66" s="185">
        <f>124094</f>
        <v>124094</v>
      </c>
      <c r="BF66" s="185">
        <f>188479+425934</f>
        <v>614413</v>
      </c>
      <c r="BG66" s="185"/>
      <c r="BH66" s="185">
        <v>1597435</v>
      </c>
      <c r="BI66" s="185"/>
      <c r="BJ66" s="185">
        <v>5000</v>
      </c>
      <c r="BK66" s="185">
        <v>2354052</v>
      </c>
      <c r="BL66" s="185">
        <f>60974</f>
        <v>60974</v>
      </c>
      <c r="BM66" s="185"/>
      <c r="BN66" s="185">
        <f>297937+1308+372291</f>
        <v>671536</v>
      </c>
      <c r="BO66" s="185"/>
      <c r="BP66" s="185">
        <v>22062</v>
      </c>
      <c r="BQ66" s="185"/>
      <c r="BR66" s="185">
        <v>149540</v>
      </c>
      <c r="BS66" s="185"/>
      <c r="BT66" s="185"/>
      <c r="BU66" s="185"/>
      <c r="BV66" s="185">
        <f>10032+253131</f>
        <v>263163</v>
      </c>
      <c r="BW66" s="185">
        <v>2360</v>
      </c>
      <c r="BX66" s="185">
        <v>286767</v>
      </c>
      <c r="BY66" s="185">
        <f>1813-2</f>
        <v>1811</v>
      </c>
      <c r="BZ66" s="185"/>
      <c r="CA66" s="185"/>
      <c r="CB66" s="185"/>
      <c r="CC66" s="185"/>
      <c r="CD66" s="307" t="s">
        <v>221</v>
      </c>
      <c r="CE66" s="297">
        <f t="shared" si="0"/>
        <v>9555213</v>
      </c>
      <c r="CF66" s="2"/>
    </row>
    <row r="67" spans="1:84" ht="12.65" customHeight="1" x14ac:dyDescent="0.35">
      <c r="A67" s="304" t="s">
        <v>6</v>
      </c>
      <c r="B67" s="297"/>
      <c r="C67" s="297">
        <f>ROUND(C51+C52,0)</f>
        <v>300847</v>
      </c>
      <c r="D67" s="297">
        <f>ROUND(D51+D52,0)</f>
        <v>0</v>
      </c>
      <c r="E67" s="297">
        <f t="shared" ref="E67:BP67" si="3">ROUND(E51+E52,0)</f>
        <v>427379</v>
      </c>
      <c r="F67" s="297">
        <f t="shared" si="3"/>
        <v>0</v>
      </c>
      <c r="G67" s="297">
        <f t="shared" si="3"/>
        <v>0</v>
      </c>
      <c r="H67" s="297">
        <f t="shared" si="3"/>
        <v>0</v>
      </c>
      <c r="I67" s="297">
        <f t="shared" si="3"/>
        <v>0</v>
      </c>
      <c r="J67" s="297">
        <f>ROUND(J51+J52,0)</f>
        <v>25500</v>
      </c>
      <c r="K67" s="297">
        <f t="shared" si="3"/>
        <v>0</v>
      </c>
      <c r="L67" s="297">
        <f t="shared" si="3"/>
        <v>0</v>
      </c>
      <c r="M67" s="297">
        <f t="shared" si="3"/>
        <v>0</v>
      </c>
      <c r="N67" s="297">
        <f t="shared" si="3"/>
        <v>0</v>
      </c>
      <c r="O67" s="297">
        <f t="shared" si="3"/>
        <v>806656</v>
      </c>
      <c r="P67" s="297">
        <f t="shared" si="3"/>
        <v>80791</v>
      </c>
      <c r="Q67" s="297">
        <f t="shared" si="3"/>
        <v>102714</v>
      </c>
      <c r="R67" s="297">
        <f t="shared" si="3"/>
        <v>12267</v>
      </c>
      <c r="S67" s="297">
        <f t="shared" si="3"/>
        <v>103251</v>
      </c>
      <c r="T67" s="297">
        <f t="shared" si="3"/>
        <v>0</v>
      </c>
      <c r="U67" s="297">
        <f t="shared" si="3"/>
        <v>98136</v>
      </c>
      <c r="V67" s="297">
        <f t="shared" si="3"/>
        <v>0</v>
      </c>
      <c r="W67" s="297">
        <f t="shared" si="3"/>
        <v>31544</v>
      </c>
      <c r="X67" s="297">
        <f t="shared" si="3"/>
        <v>214012</v>
      </c>
      <c r="Y67" s="297">
        <f t="shared" si="3"/>
        <v>502877</v>
      </c>
      <c r="Z67" s="297">
        <f t="shared" si="3"/>
        <v>180036</v>
      </c>
      <c r="AA67" s="297">
        <f t="shared" si="3"/>
        <v>13018</v>
      </c>
      <c r="AB67" s="297">
        <f t="shared" si="3"/>
        <v>44991</v>
      </c>
      <c r="AC67" s="297">
        <f t="shared" si="3"/>
        <v>151460</v>
      </c>
      <c r="AD67" s="297">
        <f t="shared" si="3"/>
        <v>0</v>
      </c>
      <c r="AE67" s="297">
        <f t="shared" si="3"/>
        <v>150674</v>
      </c>
      <c r="AF67" s="297">
        <f t="shared" si="3"/>
        <v>0</v>
      </c>
      <c r="AG67" s="297">
        <f t="shared" si="3"/>
        <v>151925</v>
      </c>
      <c r="AH67" s="297">
        <f t="shared" si="3"/>
        <v>0</v>
      </c>
      <c r="AI67" s="297">
        <f t="shared" si="3"/>
        <v>178069</v>
      </c>
      <c r="AJ67" s="297">
        <f t="shared" si="3"/>
        <v>0</v>
      </c>
      <c r="AK67" s="297">
        <f t="shared" si="3"/>
        <v>0</v>
      </c>
      <c r="AL67" s="297">
        <f t="shared" si="3"/>
        <v>0</v>
      </c>
      <c r="AM67" s="297">
        <f t="shared" si="3"/>
        <v>0</v>
      </c>
      <c r="AN67" s="297">
        <f t="shared" si="3"/>
        <v>0</v>
      </c>
      <c r="AO67" s="297">
        <f t="shared" si="3"/>
        <v>0</v>
      </c>
      <c r="AP67" s="297">
        <f t="shared" si="3"/>
        <v>0</v>
      </c>
      <c r="AQ67" s="297">
        <f t="shared" si="3"/>
        <v>0</v>
      </c>
      <c r="AR67" s="297">
        <f t="shared" si="3"/>
        <v>0</v>
      </c>
      <c r="AS67" s="297">
        <f t="shared" si="3"/>
        <v>0</v>
      </c>
      <c r="AT67" s="297">
        <f t="shared" si="3"/>
        <v>0</v>
      </c>
      <c r="AU67" s="297">
        <f t="shared" si="3"/>
        <v>0</v>
      </c>
      <c r="AV67" s="297">
        <f t="shared" si="3"/>
        <v>0</v>
      </c>
      <c r="AW67" s="297">
        <f t="shared" si="3"/>
        <v>0</v>
      </c>
      <c r="AX67" s="297">
        <f t="shared" si="3"/>
        <v>0</v>
      </c>
      <c r="AY67" s="297">
        <f t="shared" si="3"/>
        <v>195951</v>
      </c>
      <c r="AZ67" s="297">
        <f>ROUND(AZ51+AZ52,0)</f>
        <v>0</v>
      </c>
      <c r="BA67" s="297">
        <f>ROUND(BA51+BA52,0)</f>
        <v>0</v>
      </c>
      <c r="BB67" s="297">
        <f t="shared" si="3"/>
        <v>26465</v>
      </c>
      <c r="BC67" s="297">
        <f t="shared" si="3"/>
        <v>0</v>
      </c>
      <c r="BD67" s="297">
        <f t="shared" si="3"/>
        <v>91735</v>
      </c>
      <c r="BE67" s="297">
        <f t="shared" si="3"/>
        <v>966986</v>
      </c>
      <c r="BF67" s="297">
        <f t="shared" si="3"/>
        <v>81864</v>
      </c>
      <c r="BG67" s="297">
        <f t="shared" si="3"/>
        <v>12052</v>
      </c>
      <c r="BH67" s="297">
        <f t="shared" si="3"/>
        <v>26895</v>
      </c>
      <c r="BI67" s="297">
        <f t="shared" si="3"/>
        <v>0</v>
      </c>
      <c r="BJ67" s="297">
        <f t="shared" si="3"/>
        <v>58474</v>
      </c>
      <c r="BK67" s="297">
        <f t="shared" si="3"/>
        <v>0</v>
      </c>
      <c r="BL67" s="297">
        <f t="shared" si="3"/>
        <v>64411</v>
      </c>
      <c r="BM67" s="297">
        <f t="shared" si="3"/>
        <v>0</v>
      </c>
      <c r="BN67" s="297">
        <f t="shared" si="3"/>
        <v>138585</v>
      </c>
      <c r="BO67" s="297">
        <f t="shared" si="3"/>
        <v>0</v>
      </c>
      <c r="BP67" s="297">
        <f t="shared" si="3"/>
        <v>26072</v>
      </c>
      <c r="BQ67" s="297">
        <f t="shared" ref="BQ67:CC67" si="4">ROUND(BQ51+BQ52,0)</f>
        <v>0</v>
      </c>
      <c r="BR67" s="297">
        <f t="shared" si="4"/>
        <v>36229</v>
      </c>
      <c r="BS67" s="297">
        <f t="shared" si="4"/>
        <v>10228</v>
      </c>
      <c r="BT67" s="297">
        <f t="shared" si="4"/>
        <v>0</v>
      </c>
      <c r="BU67" s="297">
        <f t="shared" si="4"/>
        <v>119988</v>
      </c>
      <c r="BV67" s="297">
        <f t="shared" si="4"/>
        <v>0</v>
      </c>
      <c r="BW67" s="297">
        <f t="shared" si="4"/>
        <v>0</v>
      </c>
      <c r="BX67" s="297">
        <f t="shared" si="4"/>
        <v>2968</v>
      </c>
      <c r="BY67" s="297">
        <f t="shared" si="4"/>
        <v>41665</v>
      </c>
      <c r="BZ67" s="297">
        <f t="shared" si="4"/>
        <v>0</v>
      </c>
      <c r="CA67" s="297">
        <f t="shared" si="4"/>
        <v>80076</v>
      </c>
      <c r="CB67" s="297">
        <f t="shared" si="4"/>
        <v>0</v>
      </c>
      <c r="CC67" s="297">
        <f t="shared" si="4"/>
        <v>0</v>
      </c>
      <c r="CD67" s="307" t="s">
        <v>221</v>
      </c>
      <c r="CE67" s="297">
        <f t="shared" si="0"/>
        <v>5556791</v>
      </c>
      <c r="CF67" s="2"/>
    </row>
    <row r="68" spans="1:84" ht="12.65" customHeight="1" x14ac:dyDescent="0.35">
      <c r="A68" s="304" t="s">
        <v>240</v>
      </c>
      <c r="B68" s="297"/>
      <c r="C68" s="302">
        <v>26195</v>
      </c>
      <c r="D68" s="302"/>
      <c r="E68" s="302">
        <v>83514</v>
      </c>
      <c r="F68" s="302"/>
      <c r="G68" s="302"/>
      <c r="H68" s="302"/>
      <c r="I68" s="302"/>
      <c r="J68" s="302"/>
      <c r="K68" s="185"/>
      <c r="L68" s="185"/>
      <c r="M68" s="302"/>
      <c r="N68" s="302"/>
      <c r="O68" s="302">
        <v>123</v>
      </c>
      <c r="P68" s="185">
        <v>357217</v>
      </c>
      <c r="Q68" s="185"/>
      <c r="R68" s="185">
        <v>100191</v>
      </c>
      <c r="S68" s="185"/>
      <c r="T68" s="185"/>
      <c r="U68" s="185">
        <v>183619</v>
      </c>
      <c r="V68" s="185"/>
      <c r="W68" s="185"/>
      <c r="X68" s="185">
        <f>7326+589229</f>
        <v>596555</v>
      </c>
      <c r="Y68" s="185">
        <f>2079+44+293-1157</f>
        <v>1259</v>
      </c>
      <c r="Z68" s="185">
        <v>978</v>
      </c>
      <c r="AA68" s="185"/>
      <c r="AB68" s="185">
        <v>230462</v>
      </c>
      <c r="AC68" s="185">
        <v>49906</v>
      </c>
      <c r="AD68" s="185"/>
      <c r="AE68" s="185">
        <v>88454</v>
      </c>
      <c r="AF68" s="185"/>
      <c r="AG68" s="185">
        <v>6573</v>
      </c>
      <c r="AH68" s="185"/>
      <c r="AI68" s="185">
        <v>2</v>
      </c>
      <c r="AJ68" s="185"/>
      <c r="AK68" s="185">
        <v>4</v>
      </c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11835</v>
      </c>
      <c r="AW68" s="185"/>
      <c r="AX68" s="185"/>
      <c r="AY68" s="185"/>
      <c r="AZ68" s="185"/>
      <c r="BA68" s="185"/>
      <c r="BB68" s="185">
        <v>48</v>
      </c>
      <c r="BC68" s="185"/>
      <c r="BD68" s="185">
        <v>1928</v>
      </c>
      <c r="BE68" s="185">
        <v>3828</v>
      </c>
      <c r="BF68" s="185">
        <v>5</v>
      </c>
      <c r="BG68" s="185"/>
      <c r="BH68" s="185"/>
      <c r="BI68" s="185"/>
      <c r="BJ68" s="185">
        <v>27</v>
      </c>
      <c r="BK68" s="185"/>
      <c r="BL68" s="185">
        <v>-1</v>
      </c>
      <c r="BM68" s="185"/>
      <c r="BN68" s="185">
        <f>322666+109526</f>
        <v>432192</v>
      </c>
      <c r="BO68" s="185"/>
      <c r="BP68" s="185"/>
      <c r="BQ68" s="185"/>
      <c r="BR68" s="185">
        <v>16</v>
      </c>
      <c r="BS68" s="185"/>
      <c r="BT68" s="185"/>
      <c r="BU68" s="185"/>
      <c r="BV68" s="185">
        <v>95379</v>
      </c>
      <c r="BW68" s="185">
        <v>670</v>
      </c>
      <c r="BX68" s="185"/>
      <c r="BY68" s="185">
        <v>382</v>
      </c>
      <c r="BZ68" s="185"/>
      <c r="CA68" s="185"/>
      <c r="CB68" s="185"/>
      <c r="CC68" s="185"/>
      <c r="CD68" s="307" t="s">
        <v>221</v>
      </c>
      <c r="CE68" s="297">
        <f t="shared" si="0"/>
        <v>2271361</v>
      </c>
      <c r="CF68" s="2"/>
    </row>
    <row r="69" spans="1:84" ht="12.65" customHeight="1" x14ac:dyDescent="0.35">
      <c r="A69" s="304" t="s">
        <v>241</v>
      </c>
      <c r="B69" s="297"/>
      <c r="C69" s="302">
        <f>55762+1842+4751+4318+4955+371659</f>
        <v>443287</v>
      </c>
      <c r="D69" s="302"/>
      <c r="E69" s="302">
        <f>52562+1501+1972+1508+1328+233051</f>
        <v>291922</v>
      </c>
      <c r="F69" s="185"/>
      <c r="G69" s="302"/>
      <c r="H69" s="302"/>
      <c r="I69" s="185"/>
      <c r="J69" s="185">
        <f>806+43+972+1296</f>
        <v>3117</v>
      </c>
      <c r="K69" s="185"/>
      <c r="L69" s="185"/>
      <c r="M69" s="302"/>
      <c r="N69" s="302"/>
      <c r="O69" s="302">
        <f>54793+1090+420+287+1234+280021</f>
        <v>337845</v>
      </c>
      <c r="P69" s="185">
        <f>604361+17726+4803+6792+541490</f>
        <v>1175172</v>
      </c>
      <c r="Q69" s="185">
        <f>6658+350+61687</f>
        <v>68695</v>
      </c>
      <c r="R69" s="224">
        <f>1063+219</f>
        <v>1282</v>
      </c>
      <c r="S69" s="185">
        <f>105279+1772+22788+120+417087</f>
        <v>547046</v>
      </c>
      <c r="T69" s="302"/>
      <c r="U69" s="185">
        <f>100145+40717+2127+13759+1874+92</f>
        <v>158714</v>
      </c>
      <c r="V69" s="185"/>
      <c r="W69" s="302">
        <f>92550+5+1611+4030</f>
        <v>98196</v>
      </c>
      <c r="X69" s="185">
        <f>79653+1435+186328+487+18+4362+11987</f>
        <v>284270</v>
      </c>
      <c r="Y69" s="185">
        <f>34799+28+973+4372+4143+95601+323+3430+232252+508+7058+2607+32412+7788+2850+127630+232+249+69949+114338</f>
        <v>741542</v>
      </c>
      <c r="Z69" s="185">
        <f>320508+353+37+14553+14457</f>
        <v>349908</v>
      </c>
      <c r="AA69" s="185">
        <f>20817+250+32233</f>
        <v>53300</v>
      </c>
      <c r="AB69" s="302">
        <f>35588+12467+916+38336+8660-150</f>
        <v>95817</v>
      </c>
      <c r="AC69" s="185">
        <f>2631+32+1900+3250+29001+1214+65-331</f>
        <v>37762</v>
      </c>
      <c r="AD69" s="185"/>
      <c r="AE69" s="185">
        <f>1018+1147+7824+2436+58183</f>
        <v>70608</v>
      </c>
      <c r="AF69" s="185"/>
      <c r="AG69" s="185">
        <f>17921+2895+1401+18120+288+126192</f>
        <v>166817</v>
      </c>
      <c r="AH69" s="185"/>
      <c r="AI69" s="185">
        <f>31572+177+5522+11+290</f>
        <v>37572</v>
      </c>
      <c r="AJ69" s="185"/>
      <c r="AK69" s="185">
        <f>284</f>
        <v>284</v>
      </c>
      <c r="AL69" s="185">
        <v>61845</v>
      </c>
      <c r="AM69" s="185"/>
      <c r="AN69" s="185"/>
      <c r="AO69" s="302"/>
      <c r="AP69" s="185"/>
      <c r="AQ69" s="302"/>
      <c r="AR69" s="302"/>
      <c r="AS69" s="302"/>
      <c r="AT69" s="302"/>
      <c r="AU69" s="185"/>
      <c r="AV69" s="185">
        <f>2257+2174+1784+231</f>
        <v>6446</v>
      </c>
      <c r="AW69" s="185"/>
      <c r="AX69" s="185"/>
      <c r="AY69" s="185">
        <f>18901+8590+7855+2923+59064</f>
        <v>97333</v>
      </c>
      <c r="AZ69" s="185"/>
      <c r="BA69" s="185"/>
      <c r="BB69" s="185">
        <f>281+191+1691+13636</f>
        <v>15799</v>
      </c>
      <c r="BC69" s="185"/>
      <c r="BD69" s="185">
        <f>118+139042+1054+3738</f>
        <v>143952</v>
      </c>
      <c r="BE69" s="185">
        <f>425650+1202+1730+175+2387+396+194</f>
        <v>431734</v>
      </c>
      <c r="BF69" s="185">
        <f>4880+109+545</f>
        <v>5534</v>
      </c>
      <c r="BG69" s="185"/>
      <c r="BH69" s="224">
        <f>121694+304+3644+20515+58087</f>
        <v>204244</v>
      </c>
      <c r="BI69" s="185"/>
      <c r="BJ69" s="185">
        <f>71+608+5+14387</f>
        <v>15071</v>
      </c>
      <c r="BK69" s="185">
        <v>243</v>
      </c>
      <c r="BL69" s="185">
        <f>582+890+145649+8429</f>
        <v>155550</v>
      </c>
      <c r="BM69" s="185"/>
      <c r="BN69" s="185">
        <f>218020+426989+10902+4759+97887+147187+1037804+327+297+34747+517+27+14116+3500+577735</f>
        <v>2574814</v>
      </c>
      <c r="BO69" s="185"/>
      <c r="BP69" s="185">
        <f>158264+362+4216+7660+38929</f>
        <v>209431</v>
      </c>
      <c r="BQ69" s="185"/>
      <c r="BR69" s="185">
        <f>142+680+14184+330+125211</f>
        <v>140547</v>
      </c>
      <c r="BS69" s="185"/>
      <c r="BT69" s="185"/>
      <c r="BU69" s="185"/>
      <c r="BV69" s="185">
        <f>106+94+3365+2712+1833</f>
        <v>8110</v>
      </c>
      <c r="BW69" s="185">
        <f>48+410+1400</f>
        <v>1858</v>
      </c>
      <c r="BX69" s="185">
        <f>1026+24049+6650</f>
        <v>31725</v>
      </c>
      <c r="BY69" s="185">
        <f>5+331+2127+9757+2314</f>
        <v>14534</v>
      </c>
      <c r="BZ69" s="185"/>
      <c r="CA69" s="185">
        <f>94+1036+3375</f>
        <v>4505</v>
      </c>
      <c r="CB69" s="185"/>
      <c r="CC69" s="185"/>
      <c r="CD69" s="310">
        <f>118057351-101092805</f>
        <v>16964546</v>
      </c>
      <c r="CE69" s="297">
        <f t="shared" si="0"/>
        <v>26050977</v>
      </c>
      <c r="CF69" s="2"/>
    </row>
    <row r="70" spans="1:84" ht="12.65" customHeight="1" x14ac:dyDescent="0.35">
      <c r="A70" s="304" t="s">
        <v>242</v>
      </c>
      <c r="B70" s="297"/>
      <c r="C70" s="302"/>
      <c r="D70" s="302"/>
      <c r="E70" s="302"/>
      <c r="F70" s="185"/>
      <c r="G70" s="302"/>
      <c r="H70" s="302"/>
      <c r="I70" s="302"/>
      <c r="J70" s="185"/>
      <c r="K70" s="185"/>
      <c r="L70" s="185"/>
      <c r="M70" s="302"/>
      <c r="N70" s="302"/>
      <c r="O70" s="302"/>
      <c r="P70" s="302"/>
      <c r="Q70" s="302"/>
      <c r="R70" s="302"/>
      <c r="S70" s="302"/>
      <c r="T70" s="302"/>
      <c r="U70" s="185"/>
      <c r="V70" s="302"/>
      <c r="W70" s="302"/>
      <c r="X70" s="185"/>
      <c r="Y70" s="185"/>
      <c r="Z70" s="185"/>
      <c r="AA70" s="185"/>
      <c r="AB70" s="302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10">
        <v>295926</v>
      </c>
      <c r="CE70" s="297">
        <f t="shared" si="0"/>
        <v>295926</v>
      </c>
      <c r="CF70" s="2"/>
    </row>
    <row r="71" spans="1:84" ht="12.65" customHeight="1" x14ac:dyDescent="0.35">
      <c r="A71" s="304" t="s">
        <v>243</v>
      </c>
      <c r="B71" s="297"/>
      <c r="C71" s="297">
        <f>SUM(C61:C68)+C69-C70</f>
        <v>8195784</v>
      </c>
      <c r="D71" s="297">
        <f t="shared" ref="D71:AI71" si="5">SUM(D61:D69)-D70</f>
        <v>0</v>
      </c>
      <c r="E71" s="297">
        <f t="shared" si="5"/>
        <v>6301267</v>
      </c>
      <c r="F71" s="297">
        <f t="shared" si="5"/>
        <v>0</v>
      </c>
      <c r="G71" s="297">
        <f t="shared" si="5"/>
        <v>0</v>
      </c>
      <c r="H71" s="297">
        <f t="shared" si="5"/>
        <v>0</v>
      </c>
      <c r="I71" s="297">
        <f t="shared" si="5"/>
        <v>0</v>
      </c>
      <c r="J71" s="297">
        <f t="shared" si="5"/>
        <v>654405</v>
      </c>
      <c r="K71" s="297">
        <f t="shared" si="5"/>
        <v>0</v>
      </c>
      <c r="L71" s="297">
        <f t="shared" si="5"/>
        <v>0</v>
      </c>
      <c r="M71" s="297">
        <f t="shared" si="5"/>
        <v>0</v>
      </c>
      <c r="N71" s="297">
        <f t="shared" si="5"/>
        <v>0</v>
      </c>
      <c r="O71" s="297">
        <f t="shared" si="5"/>
        <v>4048688</v>
      </c>
      <c r="P71" s="297">
        <f t="shared" si="5"/>
        <v>5740882</v>
      </c>
      <c r="Q71" s="297">
        <f t="shared" si="5"/>
        <v>1248170</v>
      </c>
      <c r="R71" s="297">
        <f t="shared" si="5"/>
        <v>1576473</v>
      </c>
      <c r="S71" s="297">
        <f t="shared" si="5"/>
        <v>1381958</v>
      </c>
      <c r="T71" s="297">
        <f t="shared" si="5"/>
        <v>0</v>
      </c>
      <c r="U71" s="297">
        <f t="shared" si="5"/>
        <v>3876615</v>
      </c>
      <c r="V71" s="297">
        <f t="shared" si="5"/>
        <v>0</v>
      </c>
      <c r="W71" s="297">
        <f t="shared" si="5"/>
        <v>330679</v>
      </c>
      <c r="X71" s="297">
        <f t="shared" si="5"/>
        <v>2225969</v>
      </c>
      <c r="Y71" s="297">
        <f t="shared" si="5"/>
        <v>4995961</v>
      </c>
      <c r="Z71" s="297">
        <f t="shared" si="5"/>
        <v>1623647</v>
      </c>
      <c r="AA71" s="297">
        <f t="shared" si="5"/>
        <v>279321</v>
      </c>
      <c r="AB71" s="297">
        <f t="shared" si="5"/>
        <v>4618423</v>
      </c>
      <c r="AC71" s="297">
        <f t="shared" si="5"/>
        <v>1496255</v>
      </c>
      <c r="AD71" s="297">
        <f t="shared" si="5"/>
        <v>0</v>
      </c>
      <c r="AE71" s="297">
        <f t="shared" si="5"/>
        <v>1218576</v>
      </c>
      <c r="AF71" s="297">
        <f t="shared" si="5"/>
        <v>0</v>
      </c>
      <c r="AG71" s="297">
        <f t="shared" si="5"/>
        <v>3854125</v>
      </c>
      <c r="AH71" s="297">
        <f t="shared" si="5"/>
        <v>0</v>
      </c>
      <c r="AI71" s="297">
        <f t="shared" si="5"/>
        <v>2678173</v>
      </c>
      <c r="AJ71" s="297">
        <f t="shared" ref="AJ71:BO71" si="6">SUM(AJ61:AJ69)-AJ70</f>
        <v>0</v>
      </c>
      <c r="AK71" s="297">
        <f t="shared" si="6"/>
        <v>112524</v>
      </c>
      <c r="AL71" s="297">
        <f t="shared" si="6"/>
        <v>61845</v>
      </c>
      <c r="AM71" s="297">
        <f t="shared" si="6"/>
        <v>0</v>
      </c>
      <c r="AN71" s="297">
        <f t="shared" si="6"/>
        <v>0</v>
      </c>
      <c r="AO71" s="297">
        <f t="shared" si="6"/>
        <v>0</v>
      </c>
      <c r="AP71" s="297">
        <f t="shared" si="6"/>
        <v>0</v>
      </c>
      <c r="AQ71" s="297">
        <f t="shared" si="6"/>
        <v>0</v>
      </c>
      <c r="AR71" s="297">
        <f t="shared" si="6"/>
        <v>0</v>
      </c>
      <c r="AS71" s="297">
        <f t="shared" si="6"/>
        <v>0</v>
      </c>
      <c r="AT71" s="297">
        <f t="shared" si="6"/>
        <v>0</v>
      </c>
      <c r="AU71" s="297">
        <f t="shared" si="6"/>
        <v>0</v>
      </c>
      <c r="AV71" s="297">
        <f t="shared" si="6"/>
        <v>2831275</v>
      </c>
      <c r="AW71" s="297">
        <f t="shared" si="6"/>
        <v>0</v>
      </c>
      <c r="AX71" s="297">
        <f t="shared" si="6"/>
        <v>0</v>
      </c>
      <c r="AY71" s="297">
        <f t="shared" si="6"/>
        <v>2041623</v>
      </c>
      <c r="AZ71" s="297">
        <f t="shared" si="6"/>
        <v>0</v>
      </c>
      <c r="BA71" s="297">
        <f t="shared" si="6"/>
        <v>0</v>
      </c>
      <c r="BB71" s="297">
        <f t="shared" si="6"/>
        <v>1078117</v>
      </c>
      <c r="BC71" s="297">
        <f t="shared" si="6"/>
        <v>0</v>
      </c>
      <c r="BD71" s="297">
        <f t="shared" si="6"/>
        <v>16559316</v>
      </c>
      <c r="BE71" s="297">
        <f t="shared" si="6"/>
        <v>3391272</v>
      </c>
      <c r="BF71" s="297">
        <f t="shared" si="6"/>
        <v>1823562</v>
      </c>
      <c r="BG71" s="297">
        <f t="shared" si="6"/>
        <v>327372</v>
      </c>
      <c r="BH71" s="297">
        <f t="shared" si="6"/>
        <v>2342325</v>
      </c>
      <c r="BI71" s="297">
        <f t="shared" si="6"/>
        <v>0</v>
      </c>
      <c r="BJ71" s="297">
        <f t="shared" si="6"/>
        <v>457499</v>
      </c>
      <c r="BK71" s="297">
        <f t="shared" si="6"/>
        <v>2354295</v>
      </c>
      <c r="BL71" s="297">
        <f t="shared" si="6"/>
        <v>1381707</v>
      </c>
      <c r="BM71" s="297">
        <f t="shared" si="6"/>
        <v>0</v>
      </c>
      <c r="BN71" s="297">
        <f t="shared" si="6"/>
        <v>5489422</v>
      </c>
      <c r="BO71" s="297">
        <f t="shared" si="6"/>
        <v>0</v>
      </c>
      <c r="BP71" s="297">
        <f t="shared" ref="BP71:CC71" si="7">SUM(BP61:BP69)-BP70</f>
        <v>354889</v>
      </c>
      <c r="BQ71" s="297">
        <f t="shared" si="7"/>
        <v>0</v>
      </c>
      <c r="BR71" s="297">
        <f t="shared" si="7"/>
        <v>684798</v>
      </c>
      <c r="BS71" s="297">
        <f t="shared" si="7"/>
        <v>10228</v>
      </c>
      <c r="BT71" s="297">
        <f t="shared" si="7"/>
        <v>0</v>
      </c>
      <c r="BU71" s="297">
        <f t="shared" si="7"/>
        <v>119988</v>
      </c>
      <c r="BV71" s="297">
        <f t="shared" si="7"/>
        <v>1131842</v>
      </c>
      <c r="BW71" s="297">
        <f t="shared" si="7"/>
        <v>128080</v>
      </c>
      <c r="BX71" s="297">
        <f t="shared" si="7"/>
        <v>640855</v>
      </c>
      <c r="BY71" s="297">
        <f t="shared" si="7"/>
        <v>1430566</v>
      </c>
      <c r="BZ71" s="297">
        <f t="shared" si="7"/>
        <v>0</v>
      </c>
      <c r="CA71" s="297">
        <f t="shared" si="7"/>
        <v>304481</v>
      </c>
      <c r="CB71" s="297">
        <f t="shared" si="7"/>
        <v>0</v>
      </c>
      <c r="CC71" s="297">
        <f t="shared" si="7"/>
        <v>0</v>
      </c>
      <c r="CD71" s="303">
        <f>CD69-CD70</f>
        <v>16668620</v>
      </c>
      <c r="CE71" s="297">
        <f>SUM(CE61:CE69)-CE70</f>
        <v>118071872</v>
      </c>
      <c r="CF71" s="2"/>
    </row>
    <row r="72" spans="1:84" ht="12.65" customHeight="1" x14ac:dyDescent="0.35">
      <c r="A72" s="304" t="s">
        <v>244</v>
      </c>
      <c r="B72" s="297"/>
      <c r="C72" s="307" t="s">
        <v>221</v>
      </c>
      <c r="D72" s="307" t="s">
        <v>221</v>
      </c>
      <c r="E72" s="307" t="s">
        <v>221</v>
      </c>
      <c r="F72" s="307" t="s">
        <v>221</v>
      </c>
      <c r="G72" s="307" t="s">
        <v>221</v>
      </c>
      <c r="H72" s="307" t="s">
        <v>221</v>
      </c>
      <c r="I72" s="307" t="s">
        <v>221</v>
      </c>
      <c r="J72" s="307" t="s">
        <v>221</v>
      </c>
      <c r="K72" s="254" t="s">
        <v>221</v>
      </c>
      <c r="L72" s="307" t="s">
        <v>221</v>
      </c>
      <c r="M72" s="307" t="s">
        <v>221</v>
      </c>
      <c r="N72" s="307" t="s">
        <v>221</v>
      </c>
      <c r="O72" s="307" t="s">
        <v>221</v>
      </c>
      <c r="P72" s="307" t="s">
        <v>221</v>
      </c>
      <c r="Q72" s="307" t="s">
        <v>221</v>
      </c>
      <c r="R72" s="307" t="s">
        <v>221</v>
      </c>
      <c r="S72" s="307" t="s">
        <v>221</v>
      </c>
      <c r="T72" s="307" t="s">
        <v>221</v>
      </c>
      <c r="U72" s="307" t="s">
        <v>221</v>
      </c>
      <c r="V72" s="307" t="s">
        <v>221</v>
      </c>
      <c r="W72" s="307" t="s">
        <v>221</v>
      </c>
      <c r="X72" s="307" t="s">
        <v>221</v>
      </c>
      <c r="Y72" s="307" t="s">
        <v>221</v>
      </c>
      <c r="Z72" s="307" t="s">
        <v>221</v>
      </c>
      <c r="AA72" s="307" t="s">
        <v>221</v>
      </c>
      <c r="AB72" s="307" t="s">
        <v>221</v>
      </c>
      <c r="AC72" s="307" t="s">
        <v>221</v>
      </c>
      <c r="AD72" s="307" t="s">
        <v>221</v>
      </c>
      <c r="AE72" s="307" t="s">
        <v>221</v>
      </c>
      <c r="AF72" s="307" t="s">
        <v>221</v>
      </c>
      <c r="AG72" s="307" t="s">
        <v>221</v>
      </c>
      <c r="AH72" s="307" t="s">
        <v>221</v>
      </c>
      <c r="AI72" s="307" t="s">
        <v>221</v>
      </c>
      <c r="AJ72" s="307" t="s">
        <v>221</v>
      </c>
      <c r="AK72" s="307" t="s">
        <v>221</v>
      </c>
      <c r="AL72" s="307" t="s">
        <v>221</v>
      </c>
      <c r="AM72" s="307" t="s">
        <v>221</v>
      </c>
      <c r="AN72" s="307" t="s">
        <v>221</v>
      </c>
      <c r="AO72" s="307" t="s">
        <v>221</v>
      </c>
      <c r="AP72" s="307" t="s">
        <v>221</v>
      </c>
      <c r="AQ72" s="307" t="s">
        <v>221</v>
      </c>
      <c r="AR72" s="307" t="s">
        <v>221</v>
      </c>
      <c r="AS72" s="307" t="s">
        <v>221</v>
      </c>
      <c r="AT72" s="307" t="s">
        <v>221</v>
      </c>
      <c r="AU72" s="307" t="s">
        <v>221</v>
      </c>
      <c r="AV72" s="307" t="s">
        <v>221</v>
      </c>
      <c r="AW72" s="307" t="s">
        <v>221</v>
      </c>
      <c r="AX72" s="307" t="s">
        <v>221</v>
      </c>
      <c r="AY72" s="307" t="s">
        <v>221</v>
      </c>
      <c r="AZ72" s="307" t="s">
        <v>221</v>
      </c>
      <c r="BA72" s="307" t="s">
        <v>221</v>
      </c>
      <c r="BB72" s="307" t="s">
        <v>221</v>
      </c>
      <c r="BC72" s="307" t="s">
        <v>221</v>
      </c>
      <c r="BD72" s="307" t="s">
        <v>221</v>
      </c>
      <c r="BE72" s="307" t="s">
        <v>221</v>
      </c>
      <c r="BF72" s="307" t="s">
        <v>221</v>
      </c>
      <c r="BG72" s="307" t="s">
        <v>221</v>
      </c>
      <c r="BH72" s="307" t="s">
        <v>221</v>
      </c>
      <c r="BI72" s="307" t="s">
        <v>221</v>
      </c>
      <c r="BJ72" s="307" t="s">
        <v>221</v>
      </c>
      <c r="BK72" s="307" t="s">
        <v>221</v>
      </c>
      <c r="BL72" s="307" t="s">
        <v>221</v>
      </c>
      <c r="BM72" s="307" t="s">
        <v>221</v>
      </c>
      <c r="BN72" s="307" t="s">
        <v>221</v>
      </c>
      <c r="BO72" s="307" t="s">
        <v>221</v>
      </c>
      <c r="BP72" s="307" t="s">
        <v>221</v>
      </c>
      <c r="BQ72" s="307" t="s">
        <v>221</v>
      </c>
      <c r="BR72" s="307" t="s">
        <v>221</v>
      </c>
      <c r="BS72" s="307" t="s">
        <v>221</v>
      </c>
      <c r="BT72" s="307" t="s">
        <v>221</v>
      </c>
      <c r="BU72" s="307" t="s">
        <v>221</v>
      </c>
      <c r="BV72" s="307" t="s">
        <v>221</v>
      </c>
      <c r="BW72" s="307" t="s">
        <v>221</v>
      </c>
      <c r="BX72" s="307" t="s">
        <v>221</v>
      </c>
      <c r="BY72" s="307" t="s">
        <v>221</v>
      </c>
      <c r="BZ72" s="307" t="s">
        <v>221</v>
      </c>
      <c r="CA72" s="307" t="s">
        <v>221</v>
      </c>
      <c r="CB72" s="307" t="s">
        <v>221</v>
      </c>
      <c r="CC72" s="307" t="s">
        <v>221</v>
      </c>
      <c r="CD72" s="307" t="s">
        <v>221</v>
      </c>
      <c r="CE72" s="310"/>
      <c r="CF72" s="2"/>
    </row>
    <row r="73" spans="1:84" ht="12.65" customHeight="1" x14ac:dyDescent="0.35">
      <c r="A73" s="304" t="s">
        <v>245</v>
      </c>
      <c r="B73" s="297"/>
      <c r="C73" s="302">
        <v>37731159</v>
      </c>
      <c r="D73" s="302"/>
      <c r="E73" s="302">
        <v>22044804</v>
      </c>
      <c r="F73" s="185"/>
      <c r="G73" s="302"/>
      <c r="H73" s="302"/>
      <c r="I73" s="185"/>
      <c r="J73" s="185">
        <v>3554398</v>
      </c>
      <c r="K73" s="185"/>
      <c r="L73" s="185"/>
      <c r="M73" s="302"/>
      <c r="N73" s="302"/>
      <c r="O73" s="302">
        <v>19977056</v>
      </c>
      <c r="P73" s="185">
        <f>51505359+52006285+15501171+570124</f>
        <v>119582939</v>
      </c>
      <c r="Q73" s="185">
        <v>12056862</v>
      </c>
      <c r="R73" s="185">
        <v>8612094</v>
      </c>
      <c r="S73" s="185"/>
      <c r="T73" s="185"/>
      <c r="U73" s="185">
        <f>23580243+824729+2191888</f>
        <v>26596860</v>
      </c>
      <c r="V73" s="185"/>
      <c r="W73" s="185">
        <v>2150668</v>
      </c>
      <c r="X73" s="185">
        <f>12760279+59331</f>
        <v>12819610</v>
      </c>
      <c r="Y73" s="185">
        <f>1603+2949730+3336518+4927190+517989+6209997</f>
        <v>17943027</v>
      </c>
      <c r="Z73" s="185">
        <v>219646</v>
      </c>
      <c r="AA73" s="185">
        <v>1081239</v>
      </c>
      <c r="AB73" s="185">
        <f>14105659+7328</f>
        <v>14112987</v>
      </c>
      <c r="AC73" s="185">
        <f>386+7679017</f>
        <v>7679403</v>
      </c>
      <c r="AD73" s="185"/>
      <c r="AE73" s="185">
        <v>2575442</v>
      </c>
      <c r="AF73" s="185"/>
      <c r="AG73" s="185">
        <v>12600529</v>
      </c>
      <c r="AH73" s="185"/>
      <c r="AI73" s="185">
        <f>1331524+91537</f>
        <v>1423061</v>
      </c>
      <c r="AJ73" s="185"/>
      <c r="AK73" s="185">
        <v>551755</v>
      </c>
      <c r="AL73" s="185">
        <v>103294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3641</v>
      </c>
      <c r="AW73" s="307" t="s">
        <v>221</v>
      </c>
      <c r="AX73" s="307" t="s">
        <v>221</v>
      </c>
      <c r="AY73" s="307" t="s">
        <v>221</v>
      </c>
      <c r="AZ73" s="307" t="s">
        <v>221</v>
      </c>
      <c r="BA73" s="307" t="s">
        <v>221</v>
      </c>
      <c r="BB73" s="307" t="s">
        <v>221</v>
      </c>
      <c r="BC73" s="307" t="s">
        <v>221</v>
      </c>
      <c r="BD73" s="307" t="s">
        <v>221</v>
      </c>
      <c r="BE73" s="307" t="s">
        <v>221</v>
      </c>
      <c r="BF73" s="307" t="s">
        <v>221</v>
      </c>
      <c r="BG73" s="307" t="s">
        <v>221</v>
      </c>
      <c r="BH73" s="307" t="s">
        <v>221</v>
      </c>
      <c r="BI73" s="307" t="s">
        <v>221</v>
      </c>
      <c r="BJ73" s="307" t="s">
        <v>221</v>
      </c>
      <c r="BK73" s="307" t="s">
        <v>221</v>
      </c>
      <c r="BL73" s="307" t="s">
        <v>221</v>
      </c>
      <c r="BM73" s="307" t="s">
        <v>221</v>
      </c>
      <c r="BN73" s="307" t="s">
        <v>221</v>
      </c>
      <c r="BO73" s="307" t="s">
        <v>221</v>
      </c>
      <c r="BP73" s="307" t="s">
        <v>221</v>
      </c>
      <c r="BQ73" s="307" t="s">
        <v>221</v>
      </c>
      <c r="BR73" s="307" t="s">
        <v>221</v>
      </c>
      <c r="BS73" s="307" t="s">
        <v>221</v>
      </c>
      <c r="BT73" s="307" t="s">
        <v>221</v>
      </c>
      <c r="BU73" s="307" t="s">
        <v>221</v>
      </c>
      <c r="BV73" s="307" t="s">
        <v>221</v>
      </c>
      <c r="BW73" s="307" t="s">
        <v>221</v>
      </c>
      <c r="BX73" s="307" t="s">
        <v>221</v>
      </c>
      <c r="BY73" s="307" t="s">
        <v>221</v>
      </c>
      <c r="BZ73" s="307" t="s">
        <v>221</v>
      </c>
      <c r="CA73" s="307" t="s">
        <v>221</v>
      </c>
      <c r="CB73" s="307" t="s">
        <v>221</v>
      </c>
      <c r="CC73" s="307" t="s">
        <v>221</v>
      </c>
      <c r="CD73" s="307" t="s">
        <v>221</v>
      </c>
      <c r="CE73" s="297">
        <f t="shared" ref="CE73:CE80" si="8">SUM(C73:CD73)</f>
        <v>323420474</v>
      </c>
      <c r="CF73" s="2"/>
    </row>
    <row r="74" spans="1:84" ht="12.65" customHeight="1" x14ac:dyDescent="0.35">
      <c r="A74" s="304" t="s">
        <v>246</v>
      </c>
      <c r="B74" s="297"/>
      <c r="C74" s="302">
        <v>1297558</v>
      </c>
      <c r="D74" s="302"/>
      <c r="E74" s="302">
        <v>1742503</v>
      </c>
      <c r="F74" s="185"/>
      <c r="G74" s="302"/>
      <c r="H74" s="302"/>
      <c r="I74" s="302"/>
      <c r="J74" s="185">
        <v>8809</v>
      </c>
      <c r="K74" s="185"/>
      <c r="L74" s="185"/>
      <c r="M74" s="302"/>
      <c r="N74" s="302"/>
      <c r="O74" s="302">
        <v>1463278</v>
      </c>
      <c r="P74" s="185">
        <f>46579428+11625327+10437754+5526917</f>
        <v>74169426</v>
      </c>
      <c r="Q74" s="185">
        <v>14792230</v>
      </c>
      <c r="R74" s="185">
        <v>8792139</v>
      </c>
      <c r="S74" s="185"/>
      <c r="T74" s="185"/>
      <c r="U74" s="185">
        <f>18252413+662849+1374655</f>
        <v>20289917</v>
      </c>
      <c r="V74" s="185"/>
      <c r="W74" s="185">
        <v>3592711</v>
      </c>
      <c r="X74" s="185">
        <f>30721580+29286857</f>
        <v>60008437</v>
      </c>
      <c r="Y74" s="185">
        <f>5514665+7673429+7606109+5896153+1627157+6849101</f>
        <v>35166614</v>
      </c>
      <c r="Z74" s="185">
        <v>36790050</v>
      </c>
      <c r="AA74" s="185">
        <v>2686940</v>
      </c>
      <c r="AB74" s="185">
        <f>8323136+939364</f>
        <v>9262500</v>
      </c>
      <c r="AC74" s="185">
        <f>3540768+991528</f>
        <v>4532296</v>
      </c>
      <c r="AD74" s="185"/>
      <c r="AE74" s="185">
        <v>3165150</v>
      </c>
      <c r="AF74" s="185"/>
      <c r="AG74" s="185">
        <v>44129477</v>
      </c>
      <c r="AH74" s="185"/>
      <c r="AI74" s="185">
        <f>1798541+5202704</f>
        <v>7001245</v>
      </c>
      <c r="AJ74" s="185"/>
      <c r="AK74" s="185">
        <v>451985</v>
      </c>
      <c r="AL74" s="185">
        <v>283661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10114646</v>
      </c>
      <c r="AW74" s="307" t="s">
        <v>221</v>
      </c>
      <c r="AX74" s="307" t="s">
        <v>221</v>
      </c>
      <c r="AY74" s="307" t="s">
        <v>221</v>
      </c>
      <c r="AZ74" s="307" t="s">
        <v>221</v>
      </c>
      <c r="BA74" s="307" t="s">
        <v>221</v>
      </c>
      <c r="BB74" s="307" t="s">
        <v>221</v>
      </c>
      <c r="BC74" s="307" t="s">
        <v>221</v>
      </c>
      <c r="BD74" s="307" t="s">
        <v>221</v>
      </c>
      <c r="BE74" s="307" t="s">
        <v>221</v>
      </c>
      <c r="BF74" s="307" t="s">
        <v>221</v>
      </c>
      <c r="BG74" s="307" t="s">
        <v>221</v>
      </c>
      <c r="BH74" s="307" t="s">
        <v>221</v>
      </c>
      <c r="BI74" s="307" t="s">
        <v>221</v>
      </c>
      <c r="BJ74" s="307" t="s">
        <v>221</v>
      </c>
      <c r="BK74" s="307" t="s">
        <v>221</v>
      </c>
      <c r="BL74" s="307" t="s">
        <v>221</v>
      </c>
      <c r="BM74" s="307" t="s">
        <v>221</v>
      </c>
      <c r="BN74" s="307" t="s">
        <v>221</v>
      </c>
      <c r="BO74" s="307" t="s">
        <v>221</v>
      </c>
      <c r="BP74" s="307" t="s">
        <v>221</v>
      </c>
      <c r="BQ74" s="307" t="s">
        <v>221</v>
      </c>
      <c r="BR74" s="307" t="s">
        <v>221</v>
      </c>
      <c r="BS74" s="307" t="s">
        <v>221</v>
      </c>
      <c r="BT74" s="307" t="s">
        <v>221</v>
      </c>
      <c r="BU74" s="307" t="s">
        <v>221</v>
      </c>
      <c r="BV74" s="307" t="s">
        <v>221</v>
      </c>
      <c r="BW74" s="307" t="s">
        <v>221</v>
      </c>
      <c r="BX74" s="307" t="s">
        <v>221</v>
      </c>
      <c r="BY74" s="307" t="s">
        <v>221</v>
      </c>
      <c r="BZ74" s="307" t="s">
        <v>221</v>
      </c>
      <c r="CA74" s="307" t="s">
        <v>221</v>
      </c>
      <c r="CB74" s="307" t="s">
        <v>221</v>
      </c>
      <c r="CC74" s="307" t="s">
        <v>221</v>
      </c>
      <c r="CD74" s="307" t="s">
        <v>221</v>
      </c>
      <c r="CE74" s="297">
        <f t="shared" si="8"/>
        <v>339741572</v>
      </c>
      <c r="CF74" s="2"/>
    </row>
    <row r="75" spans="1:84" ht="12.65" customHeight="1" x14ac:dyDescent="0.35">
      <c r="A75" s="304" t="s">
        <v>247</v>
      </c>
      <c r="B75" s="297"/>
      <c r="C75" s="297">
        <f t="shared" ref="C75:AV75" si="9">SUM(C73:C74)</f>
        <v>39028717</v>
      </c>
      <c r="D75" s="297">
        <f t="shared" si="9"/>
        <v>0</v>
      </c>
      <c r="E75" s="297">
        <f t="shared" si="9"/>
        <v>23787307</v>
      </c>
      <c r="F75" s="297">
        <f t="shared" si="9"/>
        <v>0</v>
      </c>
      <c r="G75" s="297">
        <f t="shared" si="9"/>
        <v>0</v>
      </c>
      <c r="H75" s="297">
        <f t="shared" si="9"/>
        <v>0</v>
      </c>
      <c r="I75" s="297">
        <f t="shared" si="9"/>
        <v>0</v>
      </c>
      <c r="J75" s="297">
        <f t="shared" si="9"/>
        <v>3563207</v>
      </c>
      <c r="K75" s="297">
        <f t="shared" si="9"/>
        <v>0</v>
      </c>
      <c r="L75" s="297">
        <f t="shared" si="9"/>
        <v>0</v>
      </c>
      <c r="M75" s="297">
        <f t="shared" si="9"/>
        <v>0</v>
      </c>
      <c r="N75" s="297">
        <f t="shared" si="9"/>
        <v>0</v>
      </c>
      <c r="O75" s="297">
        <f t="shared" si="9"/>
        <v>21440334</v>
      </c>
      <c r="P75" s="297">
        <f t="shared" si="9"/>
        <v>193752365</v>
      </c>
      <c r="Q75" s="297">
        <f t="shared" si="9"/>
        <v>26849092</v>
      </c>
      <c r="R75" s="297">
        <f t="shared" si="9"/>
        <v>17404233</v>
      </c>
      <c r="S75" s="297">
        <f t="shared" si="9"/>
        <v>0</v>
      </c>
      <c r="T75" s="297">
        <f t="shared" si="9"/>
        <v>0</v>
      </c>
      <c r="U75" s="297">
        <f t="shared" si="9"/>
        <v>46886777</v>
      </c>
      <c r="V75" s="297">
        <f t="shared" si="9"/>
        <v>0</v>
      </c>
      <c r="W75" s="297">
        <f t="shared" si="9"/>
        <v>5743379</v>
      </c>
      <c r="X75" s="297">
        <f t="shared" si="9"/>
        <v>72828047</v>
      </c>
      <c r="Y75" s="297">
        <f t="shared" si="9"/>
        <v>53109641</v>
      </c>
      <c r="Z75" s="297">
        <f t="shared" si="9"/>
        <v>37009696</v>
      </c>
      <c r="AA75" s="297">
        <f t="shared" si="9"/>
        <v>3768179</v>
      </c>
      <c r="AB75" s="297">
        <f t="shared" si="9"/>
        <v>23375487</v>
      </c>
      <c r="AC75" s="297">
        <f t="shared" si="9"/>
        <v>12211699</v>
      </c>
      <c r="AD75" s="297">
        <f t="shared" si="9"/>
        <v>0</v>
      </c>
      <c r="AE75" s="297">
        <f t="shared" si="9"/>
        <v>5740592</v>
      </c>
      <c r="AF75" s="297">
        <f t="shared" si="9"/>
        <v>0</v>
      </c>
      <c r="AG75" s="297">
        <f t="shared" si="9"/>
        <v>56730006</v>
      </c>
      <c r="AH75" s="297">
        <f t="shared" si="9"/>
        <v>0</v>
      </c>
      <c r="AI75" s="297">
        <f t="shared" si="9"/>
        <v>8424306</v>
      </c>
      <c r="AJ75" s="297">
        <f t="shared" si="9"/>
        <v>0</v>
      </c>
      <c r="AK75" s="297">
        <f t="shared" si="9"/>
        <v>1003740</v>
      </c>
      <c r="AL75" s="297">
        <f t="shared" si="9"/>
        <v>386955</v>
      </c>
      <c r="AM75" s="297">
        <f t="shared" si="9"/>
        <v>0</v>
      </c>
      <c r="AN75" s="297">
        <f t="shared" si="9"/>
        <v>0</v>
      </c>
      <c r="AO75" s="297">
        <f t="shared" si="9"/>
        <v>0</v>
      </c>
      <c r="AP75" s="297">
        <f t="shared" si="9"/>
        <v>0</v>
      </c>
      <c r="AQ75" s="297">
        <f t="shared" si="9"/>
        <v>0</v>
      </c>
      <c r="AR75" s="297">
        <f t="shared" si="9"/>
        <v>0</v>
      </c>
      <c r="AS75" s="297">
        <f t="shared" si="9"/>
        <v>0</v>
      </c>
      <c r="AT75" s="297">
        <f t="shared" si="9"/>
        <v>0</v>
      </c>
      <c r="AU75" s="297">
        <f t="shared" si="9"/>
        <v>0</v>
      </c>
      <c r="AV75" s="297">
        <f t="shared" si="9"/>
        <v>10118287</v>
      </c>
      <c r="AW75" s="307" t="s">
        <v>221</v>
      </c>
      <c r="AX75" s="307" t="s">
        <v>221</v>
      </c>
      <c r="AY75" s="307" t="s">
        <v>221</v>
      </c>
      <c r="AZ75" s="307" t="s">
        <v>221</v>
      </c>
      <c r="BA75" s="307" t="s">
        <v>221</v>
      </c>
      <c r="BB75" s="307" t="s">
        <v>221</v>
      </c>
      <c r="BC75" s="307" t="s">
        <v>221</v>
      </c>
      <c r="BD75" s="307" t="s">
        <v>221</v>
      </c>
      <c r="BE75" s="307" t="s">
        <v>221</v>
      </c>
      <c r="BF75" s="307" t="s">
        <v>221</v>
      </c>
      <c r="BG75" s="307" t="s">
        <v>221</v>
      </c>
      <c r="BH75" s="307" t="s">
        <v>221</v>
      </c>
      <c r="BI75" s="307" t="s">
        <v>221</v>
      </c>
      <c r="BJ75" s="307" t="s">
        <v>221</v>
      </c>
      <c r="BK75" s="307" t="s">
        <v>221</v>
      </c>
      <c r="BL75" s="307" t="s">
        <v>221</v>
      </c>
      <c r="BM75" s="307" t="s">
        <v>221</v>
      </c>
      <c r="BN75" s="307" t="s">
        <v>221</v>
      </c>
      <c r="BO75" s="307" t="s">
        <v>221</v>
      </c>
      <c r="BP75" s="307" t="s">
        <v>221</v>
      </c>
      <c r="BQ75" s="307" t="s">
        <v>221</v>
      </c>
      <c r="BR75" s="307" t="s">
        <v>221</v>
      </c>
      <c r="BS75" s="307" t="s">
        <v>221</v>
      </c>
      <c r="BT75" s="307" t="s">
        <v>221</v>
      </c>
      <c r="BU75" s="307" t="s">
        <v>221</v>
      </c>
      <c r="BV75" s="307" t="s">
        <v>221</v>
      </c>
      <c r="BW75" s="307" t="s">
        <v>221</v>
      </c>
      <c r="BX75" s="307" t="s">
        <v>221</v>
      </c>
      <c r="BY75" s="307" t="s">
        <v>221</v>
      </c>
      <c r="BZ75" s="307" t="s">
        <v>221</v>
      </c>
      <c r="CA75" s="307" t="s">
        <v>221</v>
      </c>
      <c r="CB75" s="307" t="s">
        <v>221</v>
      </c>
      <c r="CC75" s="307" t="s">
        <v>221</v>
      </c>
      <c r="CD75" s="307" t="s">
        <v>221</v>
      </c>
      <c r="CE75" s="297">
        <f t="shared" si="8"/>
        <v>663162046</v>
      </c>
      <c r="CF75" s="2"/>
    </row>
    <row r="76" spans="1:84" ht="12.65" customHeight="1" x14ac:dyDescent="0.35">
      <c r="A76" s="304" t="s">
        <v>248</v>
      </c>
      <c r="B76" s="297"/>
      <c r="C76" s="302">
        <v>8412</v>
      </c>
      <c r="D76" s="302"/>
      <c r="E76" s="185">
        <v>11950</v>
      </c>
      <c r="F76" s="185"/>
      <c r="G76" s="302"/>
      <c r="H76" s="302"/>
      <c r="I76" s="185"/>
      <c r="J76" s="185">
        <v>713</v>
      </c>
      <c r="K76" s="185"/>
      <c r="L76" s="185"/>
      <c r="M76" s="185"/>
      <c r="N76" s="185"/>
      <c r="O76" s="185">
        <v>22555</v>
      </c>
      <c r="P76" s="185">
        <v>2259</v>
      </c>
      <c r="Q76" s="185">
        <v>2872</v>
      </c>
      <c r="R76" s="185">
        <v>343</v>
      </c>
      <c r="S76" s="185">
        <v>2887</v>
      </c>
      <c r="T76" s="185"/>
      <c r="U76" s="185">
        <v>2744</v>
      </c>
      <c r="V76" s="185"/>
      <c r="W76" s="185">
        <v>882</v>
      </c>
      <c r="X76" s="185">
        <v>5984</v>
      </c>
      <c r="Y76" s="185">
        <v>14061</v>
      </c>
      <c r="Z76" s="185">
        <v>5034</v>
      </c>
      <c r="AA76" s="185">
        <v>364</v>
      </c>
      <c r="AB76" s="185">
        <v>1258</v>
      </c>
      <c r="AC76" s="185">
        <v>4235</v>
      </c>
      <c r="AD76" s="185"/>
      <c r="AE76" s="185">
        <v>4213</v>
      </c>
      <c r="AF76" s="185"/>
      <c r="AG76" s="185">
        <v>4248</v>
      </c>
      <c r="AH76" s="185"/>
      <c r="AI76" s="185">
        <v>4979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5479</v>
      </c>
      <c r="AZ76" s="185"/>
      <c r="BA76" s="185"/>
      <c r="BB76" s="185">
        <v>740</v>
      </c>
      <c r="BC76" s="185"/>
      <c r="BD76" s="185">
        <v>2565</v>
      </c>
      <c r="BE76" s="185">
        <v>27038</v>
      </c>
      <c r="BF76" s="185">
        <v>2289</v>
      </c>
      <c r="BG76" s="185">
        <v>337</v>
      </c>
      <c r="BH76" s="185">
        <v>752</v>
      </c>
      <c r="BI76" s="185"/>
      <c r="BJ76" s="185">
        <v>1635</v>
      </c>
      <c r="BK76" s="185"/>
      <c r="BL76" s="185">
        <v>1801</v>
      </c>
      <c r="BM76" s="185"/>
      <c r="BN76" s="185">
        <v>3875</v>
      </c>
      <c r="BO76" s="185"/>
      <c r="BP76" s="185">
        <v>729</v>
      </c>
      <c r="BQ76" s="185"/>
      <c r="BR76" s="185">
        <v>1013</v>
      </c>
      <c r="BS76" s="185">
        <v>286</v>
      </c>
      <c r="BT76" s="185"/>
      <c r="BU76" s="185">
        <v>3355</v>
      </c>
      <c r="BV76" s="185"/>
      <c r="BW76" s="185"/>
      <c r="BX76" s="185">
        <v>83</v>
      </c>
      <c r="BY76" s="185">
        <v>1165</v>
      </c>
      <c r="BZ76" s="185"/>
      <c r="CA76" s="185">
        <v>2239</v>
      </c>
      <c r="CB76" s="185"/>
      <c r="CC76" s="185"/>
      <c r="CD76" s="307" t="s">
        <v>221</v>
      </c>
      <c r="CE76" s="297">
        <f t="shared" si="8"/>
        <v>155374</v>
      </c>
      <c r="CF76" s="297">
        <f>BE59-CE76</f>
        <v>0</v>
      </c>
    </row>
    <row r="77" spans="1:84" ht="12.65" customHeight="1" x14ac:dyDescent="0.35">
      <c r="A77" s="304" t="s">
        <v>249</v>
      </c>
      <c r="B77" s="297"/>
      <c r="C77" s="302">
        <v>22168.34</v>
      </c>
      <c r="D77" s="302"/>
      <c r="E77" s="302">
        <v>27205.64</v>
      </c>
      <c r="F77" s="302"/>
      <c r="G77" s="302"/>
      <c r="H77" s="302"/>
      <c r="I77" s="302"/>
      <c r="J77" s="302">
        <v>3105.43</v>
      </c>
      <c r="K77" s="302"/>
      <c r="L77" s="302"/>
      <c r="M77" s="302"/>
      <c r="N77" s="302"/>
      <c r="O77" s="302">
        <v>4143.59</v>
      </c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  <c r="AE77" s="302"/>
      <c r="AF77" s="302"/>
      <c r="AG77" s="302"/>
      <c r="AH77" s="302"/>
      <c r="AI77" s="302"/>
      <c r="AJ77" s="302"/>
      <c r="AK77" s="302"/>
      <c r="AL77" s="302"/>
      <c r="AM77" s="302"/>
      <c r="AN77" s="302"/>
      <c r="AO77" s="302"/>
      <c r="AP77" s="302"/>
      <c r="AQ77" s="302"/>
      <c r="AR77" s="302"/>
      <c r="AS77" s="302"/>
      <c r="AT77" s="302"/>
      <c r="AU77" s="302"/>
      <c r="AV77" s="302"/>
      <c r="AW77" s="302"/>
      <c r="AX77" s="307" t="s">
        <v>221</v>
      </c>
      <c r="AY77" s="307" t="s">
        <v>221</v>
      </c>
      <c r="AZ77" s="302"/>
      <c r="BA77" s="302"/>
      <c r="BB77" s="302"/>
      <c r="BC77" s="302"/>
      <c r="BD77" s="307" t="s">
        <v>221</v>
      </c>
      <c r="BE77" s="307" t="s">
        <v>221</v>
      </c>
      <c r="BF77" s="302"/>
      <c r="BG77" s="307" t="s">
        <v>221</v>
      </c>
      <c r="BH77" s="302"/>
      <c r="BI77" s="302"/>
      <c r="BJ77" s="307" t="s">
        <v>221</v>
      </c>
      <c r="BK77" s="302"/>
      <c r="BL77" s="302"/>
      <c r="BM77" s="302"/>
      <c r="BN77" s="307" t="s">
        <v>221</v>
      </c>
      <c r="BO77" s="307" t="s">
        <v>221</v>
      </c>
      <c r="BP77" s="307" t="s">
        <v>221</v>
      </c>
      <c r="BQ77" s="307" t="s">
        <v>221</v>
      </c>
      <c r="BR77" s="302"/>
      <c r="BS77" s="302"/>
      <c r="BT77" s="302"/>
      <c r="BU77" s="302"/>
      <c r="BV77" s="302"/>
      <c r="BW77" s="302"/>
      <c r="BX77" s="302"/>
      <c r="BY77" s="302"/>
      <c r="BZ77" s="302"/>
      <c r="CA77" s="302"/>
      <c r="CB77" s="302"/>
      <c r="CC77" s="307" t="s">
        <v>221</v>
      </c>
      <c r="CD77" s="307" t="s">
        <v>221</v>
      </c>
      <c r="CE77" s="297">
        <f>SUM(C77:CD77)</f>
        <v>56623</v>
      </c>
      <c r="CF77" s="297">
        <f>AY59-CE77</f>
        <v>0</v>
      </c>
    </row>
    <row r="78" spans="1:84" ht="12.65" customHeight="1" x14ac:dyDescent="0.35">
      <c r="A78" s="304" t="s">
        <v>250</v>
      </c>
      <c r="B78" s="297"/>
      <c r="C78" s="302">
        <v>2465</v>
      </c>
      <c r="D78" s="302"/>
      <c r="E78" s="302">
        <v>3501</v>
      </c>
      <c r="F78" s="302"/>
      <c r="G78" s="302"/>
      <c r="H78" s="302"/>
      <c r="I78" s="302"/>
      <c r="J78" s="302">
        <v>209</v>
      </c>
      <c r="K78" s="302"/>
      <c r="L78" s="302"/>
      <c r="M78" s="302"/>
      <c r="N78" s="302"/>
      <c r="O78" s="302">
        <v>6608</v>
      </c>
      <c r="P78" s="302">
        <v>662</v>
      </c>
      <c r="Q78" s="302">
        <v>841</v>
      </c>
      <c r="R78" s="302">
        <v>100</v>
      </c>
      <c r="S78" s="302">
        <v>846</v>
      </c>
      <c r="T78" s="302"/>
      <c r="U78" s="302">
        <v>804</v>
      </c>
      <c r="V78" s="302"/>
      <c r="W78" s="302">
        <v>258</v>
      </c>
      <c r="X78" s="302">
        <v>1753</v>
      </c>
      <c r="Y78" s="302">
        <v>4119</v>
      </c>
      <c r="Z78" s="302">
        <v>1475</v>
      </c>
      <c r="AA78" s="302">
        <v>107</v>
      </c>
      <c r="AB78" s="302">
        <v>368</v>
      </c>
      <c r="AC78" s="302">
        <v>1241</v>
      </c>
      <c r="AD78" s="302"/>
      <c r="AE78" s="302">
        <v>1234</v>
      </c>
      <c r="AF78" s="302"/>
      <c r="AG78" s="302">
        <v>1244</v>
      </c>
      <c r="AH78" s="302"/>
      <c r="AI78" s="302">
        <v>1459</v>
      </c>
      <c r="AJ78" s="302"/>
      <c r="AK78" s="302"/>
      <c r="AL78" s="302"/>
      <c r="AM78" s="302"/>
      <c r="AN78" s="302"/>
      <c r="AO78" s="302"/>
      <c r="AP78" s="302"/>
      <c r="AQ78" s="302"/>
      <c r="AR78" s="302"/>
      <c r="AS78" s="302"/>
      <c r="AT78" s="302"/>
      <c r="AU78" s="302"/>
      <c r="AV78" s="302">
        <f>1605+752+7922+671+99+479+1135+213+297+1</f>
        <v>13174</v>
      </c>
      <c r="AW78" s="302"/>
      <c r="AX78" s="307" t="s">
        <v>221</v>
      </c>
      <c r="AY78" s="307" t="s">
        <v>221</v>
      </c>
      <c r="AZ78" s="307" t="s">
        <v>221</v>
      </c>
      <c r="BA78" s="302"/>
      <c r="BB78" s="302">
        <v>217</v>
      </c>
      <c r="BC78" s="302"/>
      <c r="BD78" s="307" t="s">
        <v>221</v>
      </c>
      <c r="BE78" s="307" t="s">
        <v>221</v>
      </c>
      <c r="BF78" s="307" t="s">
        <v>221</v>
      </c>
      <c r="BG78" s="307" t="s">
        <v>221</v>
      </c>
      <c r="BH78" s="302">
        <v>220</v>
      </c>
      <c r="BI78" s="302"/>
      <c r="BJ78" s="307" t="s">
        <v>221</v>
      </c>
      <c r="BK78" s="302"/>
      <c r="BL78" s="302">
        <v>528</v>
      </c>
      <c r="BM78" s="302"/>
      <c r="BN78" s="307" t="s">
        <v>221</v>
      </c>
      <c r="BO78" s="307" t="s">
        <v>221</v>
      </c>
      <c r="BP78" s="307" t="s">
        <v>221</v>
      </c>
      <c r="BQ78" s="307" t="s">
        <v>221</v>
      </c>
      <c r="BR78" s="307" t="s">
        <v>221</v>
      </c>
      <c r="BS78" s="302">
        <v>84</v>
      </c>
      <c r="BT78" s="302"/>
      <c r="BU78" s="302"/>
      <c r="BV78" s="302">
        <v>983</v>
      </c>
      <c r="BW78" s="302"/>
      <c r="BX78" s="302">
        <v>24</v>
      </c>
      <c r="BY78" s="302">
        <v>341</v>
      </c>
      <c r="BZ78" s="302"/>
      <c r="CA78" s="302">
        <v>656</v>
      </c>
      <c r="CB78" s="302"/>
      <c r="CC78" s="307" t="s">
        <v>221</v>
      </c>
      <c r="CD78" s="307" t="s">
        <v>221</v>
      </c>
      <c r="CE78" s="297">
        <f t="shared" si="8"/>
        <v>45521</v>
      </c>
      <c r="CF78" s="297"/>
    </row>
    <row r="79" spans="1:84" ht="12.65" customHeight="1" x14ac:dyDescent="0.35">
      <c r="A79" s="304" t="s">
        <v>251</v>
      </c>
      <c r="B79" s="297"/>
      <c r="C79" s="225">
        <v>93781</v>
      </c>
      <c r="D79" s="225"/>
      <c r="E79" s="302">
        <v>173168</v>
      </c>
      <c r="F79" s="302"/>
      <c r="G79" s="302"/>
      <c r="H79" s="302"/>
      <c r="I79" s="302"/>
      <c r="J79" s="302">
        <v>619</v>
      </c>
      <c r="K79" s="302"/>
      <c r="L79" s="302"/>
      <c r="M79" s="302"/>
      <c r="N79" s="302"/>
      <c r="O79" s="302">
        <f>7230+69275</f>
        <v>76505</v>
      </c>
      <c r="P79" s="302">
        <v>109451</v>
      </c>
      <c r="Q79" s="302"/>
      <c r="R79" s="302"/>
      <c r="S79" s="302"/>
      <c r="T79" s="302"/>
      <c r="U79" s="302">
        <v>3449</v>
      </c>
      <c r="V79" s="302"/>
      <c r="W79" s="302">
        <v>5644</v>
      </c>
      <c r="X79" s="302">
        <v>8479</v>
      </c>
      <c r="Y79" s="302">
        <f>19312+8900+8306+4925+1819+6437</f>
        <v>49699</v>
      </c>
      <c r="Z79" s="302"/>
      <c r="AA79" s="302">
        <v>1670</v>
      </c>
      <c r="AB79" s="302">
        <v>15308</v>
      </c>
      <c r="AC79" s="302">
        <f>2661+767</f>
        <v>3428</v>
      </c>
      <c r="AD79" s="302"/>
      <c r="AE79" s="302">
        <v>7428</v>
      </c>
      <c r="AF79" s="302"/>
      <c r="AG79" s="302">
        <v>62841</v>
      </c>
      <c r="AH79" s="302"/>
      <c r="AI79" s="302">
        <f>1362+43229</f>
        <v>44591</v>
      </c>
      <c r="AJ79" s="302"/>
      <c r="AK79" s="302"/>
      <c r="AL79" s="302"/>
      <c r="AM79" s="302"/>
      <c r="AN79" s="302"/>
      <c r="AO79" s="302"/>
      <c r="AP79" s="302"/>
      <c r="AQ79" s="302"/>
      <c r="AR79" s="302"/>
      <c r="AS79" s="302"/>
      <c r="AT79" s="302"/>
      <c r="AU79" s="302"/>
      <c r="AV79" s="302">
        <v>1832</v>
      </c>
      <c r="AW79" s="302"/>
      <c r="AX79" s="307" t="s">
        <v>221</v>
      </c>
      <c r="AY79" s="307" t="s">
        <v>221</v>
      </c>
      <c r="AZ79" s="307" t="s">
        <v>221</v>
      </c>
      <c r="BA79" s="307" t="s">
        <v>221</v>
      </c>
      <c r="BB79" s="302"/>
      <c r="BC79" s="302"/>
      <c r="BD79" s="307" t="s">
        <v>221</v>
      </c>
      <c r="BE79" s="307" t="s">
        <v>221</v>
      </c>
      <c r="BF79" s="307" t="s">
        <v>221</v>
      </c>
      <c r="BG79" s="307" t="s">
        <v>221</v>
      </c>
      <c r="BH79" s="302"/>
      <c r="BI79" s="302"/>
      <c r="BJ79" s="307" t="s">
        <v>221</v>
      </c>
      <c r="BK79" s="302"/>
      <c r="BL79" s="302"/>
      <c r="BM79" s="302"/>
      <c r="BN79" s="307" t="s">
        <v>221</v>
      </c>
      <c r="BO79" s="307" t="s">
        <v>221</v>
      </c>
      <c r="BP79" s="307" t="s">
        <v>221</v>
      </c>
      <c r="BQ79" s="307" t="s">
        <v>221</v>
      </c>
      <c r="BR79" s="307" t="s">
        <v>221</v>
      </c>
      <c r="BS79" s="302"/>
      <c r="BT79" s="302"/>
      <c r="BU79" s="302"/>
      <c r="BV79" s="302"/>
      <c r="BW79" s="302"/>
      <c r="BX79" s="302"/>
      <c r="BY79" s="302"/>
      <c r="BZ79" s="302"/>
      <c r="CA79" s="302"/>
      <c r="CB79" s="302"/>
      <c r="CC79" s="307" t="s">
        <v>221</v>
      </c>
      <c r="CD79" s="307" t="s">
        <v>221</v>
      </c>
      <c r="CE79" s="297">
        <f t="shared" si="8"/>
        <v>657893</v>
      </c>
      <c r="CF79" s="297">
        <f>BA59</f>
        <v>0</v>
      </c>
    </row>
    <row r="80" spans="1:84" ht="12.65" customHeight="1" x14ac:dyDescent="0.35">
      <c r="A80" s="304" t="s">
        <v>252</v>
      </c>
      <c r="B80" s="297"/>
      <c r="C80" s="187">
        <v>53.37</v>
      </c>
      <c r="D80" s="187"/>
      <c r="E80" s="187">
        <v>46.84</v>
      </c>
      <c r="F80" s="187"/>
      <c r="G80" s="187"/>
      <c r="H80" s="187"/>
      <c r="I80" s="187"/>
      <c r="J80" s="187">
        <v>2.75</v>
      </c>
      <c r="K80" s="187"/>
      <c r="L80" s="187"/>
      <c r="M80" s="187"/>
      <c r="N80" s="187"/>
      <c r="O80" s="187">
        <v>17.97</v>
      </c>
      <c r="P80" s="187">
        <v>21.77</v>
      </c>
      <c r="Q80" s="187">
        <v>5.82</v>
      </c>
      <c r="R80" s="187">
        <v>1.7</v>
      </c>
      <c r="S80" s="187">
        <v>7.59</v>
      </c>
      <c r="T80" s="187"/>
      <c r="U80" s="187">
        <v>19.260000000000002</v>
      </c>
      <c r="V80" s="187"/>
      <c r="W80" s="187">
        <v>1.28</v>
      </c>
      <c r="X80" s="187">
        <f>2.04+3.65</f>
        <v>5.6899999999999995</v>
      </c>
      <c r="Y80" s="187">
        <f>2.81+0.86+7.64+3.45+1.32+8.35</f>
        <v>24.43</v>
      </c>
      <c r="Z80" s="187">
        <v>4.75</v>
      </c>
      <c r="AA80" s="187">
        <v>1.1399999999999999</v>
      </c>
      <c r="AB80" s="187">
        <f>11.4+1.04</f>
        <v>12.440000000000001</v>
      </c>
      <c r="AC80" s="187">
        <f>1.88+7.28</f>
        <v>9.16</v>
      </c>
      <c r="AD80" s="187"/>
      <c r="AE80" s="187">
        <v>8.27</v>
      </c>
      <c r="AF80" s="187"/>
      <c r="AG80" s="187">
        <v>23.59</v>
      </c>
      <c r="AH80" s="187"/>
      <c r="AI80" s="187">
        <f>2.32+17.11</f>
        <v>19.43</v>
      </c>
      <c r="AJ80" s="187"/>
      <c r="AK80" s="187">
        <v>0.85</v>
      </c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123.53</v>
      </c>
      <c r="AW80" s="307" t="s">
        <v>221</v>
      </c>
      <c r="AX80" s="307" t="s">
        <v>221</v>
      </c>
      <c r="AY80" s="307" t="s">
        <v>221</v>
      </c>
      <c r="AZ80" s="307" t="s">
        <v>221</v>
      </c>
      <c r="BA80" s="307" t="s">
        <v>221</v>
      </c>
      <c r="BB80" s="307" t="s">
        <v>221</v>
      </c>
      <c r="BC80" s="307" t="s">
        <v>221</v>
      </c>
      <c r="BD80" s="307" t="s">
        <v>221</v>
      </c>
      <c r="BE80" s="307" t="s">
        <v>221</v>
      </c>
      <c r="BF80" s="307" t="s">
        <v>221</v>
      </c>
      <c r="BG80" s="307" t="s">
        <v>221</v>
      </c>
      <c r="BH80" s="307" t="s">
        <v>221</v>
      </c>
      <c r="BI80" s="307" t="s">
        <v>221</v>
      </c>
      <c r="BJ80" s="307" t="s">
        <v>221</v>
      </c>
      <c r="BK80" s="307" t="s">
        <v>221</v>
      </c>
      <c r="BL80" s="307" t="s">
        <v>221</v>
      </c>
      <c r="BM80" s="307" t="s">
        <v>221</v>
      </c>
      <c r="BN80" s="307" t="s">
        <v>221</v>
      </c>
      <c r="BO80" s="307" t="s">
        <v>221</v>
      </c>
      <c r="BP80" s="307" t="s">
        <v>221</v>
      </c>
      <c r="BQ80" s="307" t="s">
        <v>221</v>
      </c>
      <c r="BR80" s="307" t="s">
        <v>221</v>
      </c>
      <c r="BS80" s="307" t="s">
        <v>221</v>
      </c>
      <c r="BT80" s="307" t="s">
        <v>221</v>
      </c>
      <c r="BU80" s="311"/>
      <c r="BV80" s="311"/>
      <c r="BW80" s="311"/>
      <c r="BX80" s="311"/>
      <c r="BY80" s="311"/>
      <c r="BZ80" s="311"/>
      <c r="CA80" s="311"/>
      <c r="CB80" s="311"/>
      <c r="CC80" s="307" t="s">
        <v>221</v>
      </c>
      <c r="CD80" s="307" t="s">
        <v>221</v>
      </c>
      <c r="CE80" s="312">
        <f t="shared" si="8"/>
        <v>411.63</v>
      </c>
      <c r="CF80" s="312"/>
    </row>
    <row r="81" spans="1:84" ht="21" customHeight="1" x14ac:dyDescent="0.35">
      <c r="A81" s="313" t="s">
        <v>253</v>
      </c>
      <c r="B81" s="313"/>
      <c r="C81" s="313"/>
      <c r="D81" s="313"/>
      <c r="E81" s="3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4" t="s">
        <v>254</v>
      </c>
      <c r="B82" s="314"/>
      <c r="C82" s="315" t="s">
        <v>1267</v>
      </c>
      <c r="D82" s="316"/>
      <c r="E82" s="29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7" t="s">
        <v>255</v>
      </c>
      <c r="B83" s="314" t="s">
        <v>256</v>
      </c>
      <c r="C83" s="317" t="s">
        <v>1268</v>
      </c>
      <c r="D83" s="316"/>
      <c r="E83" s="29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7" t="s">
        <v>257</v>
      </c>
      <c r="B84" s="314" t="s">
        <v>256</v>
      </c>
      <c r="C84" s="230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7" t="s">
        <v>1250</v>
      </c>
      <c r="B85" s="314"/>
      <c r="C85" s="272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7" t="s">
        <v>1251</v>
      </c>
      <c r="B86" s="314" t="s">
        <v>256</v>
      </c>
      <c r="C86" s="231"/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7" t="s">
        <v>258</v>
      </c>
      <c r="B87" s="314" t="s">
        <v>256</v>
      </c>
      <c r="C87" s="230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7" t="s">
        <v>259</v>
      </c>
      <c r="B88" s="314" t="s">
        <v>256</v>
      </c>
      <c r="C88" s="230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7" t="s">
        <v>260</v>
      </c>
      <c r="B89" s="314" t="s">
        <v>256</v>
      </c>
      <c r="C89" s="230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7" t="s">
        <v>261</v>
      </c>
      <c r="B90" s="314" t="s">
        <v>256</v>
      </c>
      <c r="C90" s="230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7" t="s">
        <v>262</v>
      </c>
      <c r="B91" s="314" t="s">
        <v>256</v>
      </c>
      <c r="C91" s="230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7" t="s">
        <v>263</v>
      </c>
      <c r="B92" s="314" t="s">
        <v>256</v>
      </c>
      <c r="C92" s="226" t="s">
        <v>1276</v>
      </c>
      <c r="D92" s="316"/>
      <c r="E92" s="29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7" t="s">
        <v>264</v>
      </c>
      <c r="B93" s="314" t="s">
        <v>256</v>
      </c>
      <c r="C93" s="271" t="s">
        <v>1277</v>
      </c>
      <c r="D93" s="316"/>
      <c r="E93" s="29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7"/>
      <c r="B94" s="297"/>
      <c r="C94" s="305"/>
      <c r="D94" s="297"/>
      <c r="E94" s="29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3" t="s">
        <v>265</v>
      </c>
      <c r="B95" s="313"/>
      <c r="C95" s="313"/>
      <c r="D95" s="313"/>
      <c r="E95" s="3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8" t="s">
        <v>266</v>
      </c>
      <c r="B96" s="318"/>
      <c r="C96" s="318"/>
      <c r="D96" s="318"/>
      <c r="E96" s="31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7" t="s">
        <v>267</v>
      </c>
      <c r="B97" s="314" t="s">
        <v>256</v>
      </c>
      <c r="C97" s="189">
        <v>0</v>
      </c>
      <c r="D97" s="297"/>
      <c r="E97" s="29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7" t="s">
        <v>259</v>
      </c>
      <c r="B98" s="314" t="s">
        <v>256</v>
      </c>
      <c r="C98" s="189">
        <v>0</v>
      </c>
      <c r="D98" s="297"/>
      <c r="E98" s="29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7" t="s">
        <v>268</v>
      </c>
      <c r="B99" s="314" t="s">
        <v>256</v>
      </c>
      <c r="C99" s="189">
        <v>0</v>
      </c>
      <c r="D99" s="297"/>
      <c r="E99" s="29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8" t="s">
        <v>269</v>
      </c>
      <c r="B100" s="318"/>
      <c r="C100" s="318"/>
      <c r="D100" s="318"/>
      <c r="E100" s="31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7" t="s">
        <v>270</v>
      </c>
      <c r="B101" s="314" t="s">
        <v>256</v>
      </c>
      <c r="C101" s="189">
        <v>0</v>
      </c>
      <c r="D101" s="297"/>
      <c r="E101" s="29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7" t="s">
        <v>132</v>
      </c>
      <c r="B102" s="314" t="s">
        <v>256</v>
      </c>
      <c r="C102" s="222">
        <v>0</v>
      </c>
      <c r="D102" s="297"/>
      <c r="E102" s="29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8" t="s">
        <v>271</v>
      </c>
      <c r="B103" s="318"/>
      <c r="C103" s="318"/>
      <c r="D103" s="318"/>
      <c r="E103" s="31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7" t="s">
        <v>272</v>
      </c>
      <c r="B104" s="314" t="s">
        <v>256</v>
      </c>
      <c r="C104" s="189">
        <v>0</v>
      </c>
      <c r="D104" s="297"/>
      <c r="E104" s="29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7" t="s">
        <v>273</v>
      </c>
      <c r="B105" s="314" t="s">
        <v>256</v>
      </c>
      <c r="C105" s="189">
        <v>1</v>
      </c>
      <c r="D105" s="297"/>
      <c r="E105" s="29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7" t="s">
        <v>274</v>
      </c>
      <c r="B106" s="314" t="s">
        <v>256</v>
      </c>
      <c r="C106" s="189">
        <v>0</v>
      </c>
      <c r="D106" s="297"/>
      <c r="E106" s="29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7"/>
      <c r="B107" s="314"/>
      <c r="C107" s="319"/>
      <c r="D107" s="297"/>
      <c r="E107" s="29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20" t="s">
        <v>275</v>
      </c>
      <c r="B108" s="313"/>
      <c r="C108" s="313"/>
      <c r="D108" s="313"/>
      <c r="E108" s="3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7"/>
      <c r="B109" s="314"/>
      <c r="C109" s="319"/>
      <c r="D109" s="297"/>
      <c r="E109" s="29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4" t="s">
        <v>276</v>
      </c>
      <c r="B110" s="297"/>
      <c r="C110" s="298" t="s">
        <v>277</v>
      </c>
      <c r="D110" s="299" t="s">
        <v>215</v>
      </c>
      <c r="E110" s="29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7" t="s">
        <v>278</v>
      </c>
      <c r="B111" s="314" t="s">
        <v>256</v>
      </c>
      <c r="C111" s="189">
        <v>5030</v>
      </c>
      <c r="D111" s="174">
        <v>17788</v>
      </c>
      <c r="E111" s="29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7" t="s">
        <v>279</v>
      </c>
      <c r="B112" s="314" t="s">
        <v>256</v>
      </c>
      <c r="C112" s="189">
        <v>0</v>
      </c>
      <c r="D112" s="174">
        <v>0</v>
      </c>
      <c r="E112" s="29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7" t="s">
        <v>280</v>
      </c>
      <c r="B113" s="314" t="s">
        <v>256</v>
      </c>
      <c r="C113" s="189">
        <v>0</v>
      </c>
      <c r="D113" s="174">
        <v>0</v>
      </c>
      <c r="E113" s="29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7" t="s">
        <v>281</v>
      </c>
      <c r="B114" s="314" t="s">
        <v>256</v>
      </c>
      <c r="C114" s="189">
        <v>637</v>
      </c>
      <c r="D114" s="174">
        <v>1029</v>
      </c>
      <c r="E114" s="29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4" t="s">
        <v>282</v>
      </c>
      <c r="B115" s="297"/>
      <c r="C115" s="298" t="s">
        <v>167</v>
      </c>
      <c r="D115" s="297"/>
      <c r="E115" s="29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7" t="s">
        <v>283</v>
      </c>
      <c r="B116" s="314" t="s">
        <v>256</v>
      </c>
      <c r="C116" s="189">
        <v>10</v>
      </c>
      <c r="D116" s="297"/>
      <c r="E116" s="29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7" t="s">
        <v>284</v>
      </c>
      <c r="B117" s="314" t="s">
        <v>256</v>
      </c>
      <c r="C117" s="189">
        <v>20</v>
      </c>
      <c r="D117" s="297"/>
      <c r="E117" s="29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7" t="s">
        <v>1238</v>
      </c>
      <c r="B118" s="314" t="s">
        <v>256</v>
      </c>
      <c r="C118" s="189">
        <v>39</v>
      </c>
      <c r="D118" s="297"/>
      <c r="E118" s="297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7" t="s">
        <v>285</v>
      </c>
      <c r="B119" s="314" t="s">
        <v>256</v>
      </c>
      <c r="C119" s="189">
        <v>0</v>
      </c>
      <c r="D119" s="297"/>
      <c r="E119" s="29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7" t="s">
        <v>286</v>
      </c>
      <c r="B120" s="314" t="s">
        <v>256</v>
      </c>
      <c r="C120" s="189">
        <v>15</v>
      </c>
      <c r="D120" s="297"/>
      <c r="E120" s="29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7" t="s">
        <v>287</v>
      </c>
      <c r="B121" s="314" t="s">
        <v>256</v>
      </c>
      <c r="C121" s="189">
        <v>0</v>
      </c>
      <c r="D121" s="297"/>
      <c r="E121" s="29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7" t="s">
        <v>97</v>
      </c>
      <c r="B122" s="314" t="s">
        <v>256</v>
      </c>
      <c r="C122" s="189">
        <v>0</v>
      </c>
      <c r="D122" s="297"/>
      <c r="E122" s="29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7" t="s">
        <v>288</v>
      </c>
      <c r="B123" s="314" t="s">
        <v>256</v>
      </c>
      <c r="C123" s="189">
        <v>0</v>
      </c>
      <c r="D123" s="297"/>
      <c r="E123" s="29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7" t="s">
        <v>289</v>
      </c>
      <c r="B124" s="314"/>
      <c r="C124" s="189">
        <v>0</v>
      </c>
      <c r="D124" s="297"/>
      <c r="E124" s="29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7" t="s">
        <v>280</v>
      </c>
      <c r="B125" s="314" t="s">
        <v>256</v>
      </c>
      <c r="C125" s="189">
        <v>0</v>
      </c>
      <c r="D125" s="297"/>
      <c r="E125" s="29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7" t="s">
        <v>290</v>
      </c>
      <c r="B126" s="314" t="s">
        <v>256</v>
      </c>
      <c r="C126" s="189">
        <v>0</v>
      </c>
      <c r="D126" s="297"/>
      <c r="E126" s="29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7" t="s">
        <v>291</v>
      </c>
      <c r="B127" s="297"/>
      <c r="C127" s="305"/>
      <c r="D127" s="297"/>
      <c r="E127" s="297">
        <f>SUM(C116:C126)</f>
        <v>84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7" t="s">
        <v>292</v>
      </c>
      <c r="B128" s="314" t="s">
        <v>256</v>
      </c>
      <c r="C128" s="189">
        <v>107</v>
      </c>
      <c r="D128" s="297"/>
      <c r="E128" s="29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7" t="s">
        <v>293</v>
      </c>
      <c r="B129" s="314" t="s">
        <v>256</v>
      </c>
      <c r="C129" s="189">
        <v>8</v>
      </c>
      <c r="D129" s="297"/>
      <c r="E129" s="29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7"/>
      <c r="B130" s="297"/>
      <c r="C130" s="305"/>
      <c r="D130" s="297"/>
      <c r="E130" s="29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7" t="s">
        <v>294</v>
      </c>
      <c r="B131" s="314" t="s">
        <v>256</v>
      </c>
      <c r="C131" s="189">
        <v>0</v>
      </c>
      <c r="D131" s="297"/>
      <c r="E131" s="29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7"/>
      <c r="B132" s="297"/>
      <c r="C132" s="305"/>
      <c r="D132" s="297"/>
      <c r="E132" s="29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7"/>
      <c r="B133" s="297"/>
      <c r="C133" s="305"/>
      <c r="D133" s="297"/>
      <c r="E133" s="29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7"/>
      <c r="B134" s="297"/>
      <c r="C134" s="305"/>
      <c r="D134" s="297"/>
      <c r="E134" s="29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7"/>
      <c r="B135" s="297"/>
      <c r="C135" s="305"/>
      <c r="D135" s="297"/>
      <c r="E135" s="29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3" t="s">
        <v>1239</v>
      </c>
      <c r="B136" s="320"/>
      <c r="C136" s="320"/>
      <c r="D136" s="320"/>
      <c r="E136" s="32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21" t="s">
        <v>295</v>
      </c>
      <c r="B137" s="322" t="s">
        <v>296</v>
      </c>
      <c r="C137" s="323" t="s">
        <v>297</v>
      </c>
      <c r="D137" s="322" t="s">
        <v>132</v>
      </c>
      <c r="E137" s="322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7" t="s">
        <v>277</v>
      </c>
      <c r="B138" s="174">
        <v>2083</v>
      </c>
      <c r="C138" s="189">
        <v>92</v>
      </c>
      <c r="D138" s="174">
        <f>5030-C138-B138</f>
        <v>2855</v>
      </c>
      <c r="E138" s="297">
        <f>SUM(B138:D138)</f>
        <v>5030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7" t="s">
        <v>215</v>
      </c>
      <c r="B139" s="174">
        <v>7971</v>
      </c>
      <c r="C139" s="189">
        <v>323</v>
      </c>
      <c r="D139" s="174">
        <f>17788-C139-B139</f>
        <v>9494</v>
      </c>
      <c r="E139" s="297">
        <f>SUM(B139:D139)</f>
        <v>17788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7" t="s">
        <v>298</v>
      </c>
      <c r="B140" s="174">
        <v>26339</v>
      </c>
      <c r="C140" s="174">
        <v>859</v>
      </c>
      <c r="D140" s="174">
        <f>74790-C140-B140</f>
        <v>47592</v>
      </c>
      <c r="E140" s="297">
        <f>SUM(B140:D140)</f>
        <v>74790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7" t="s">
        <v>245</v>
      </c>
      <c r="B141" s="174">
        <v>146209541</v>
      </c>
      <c r="C141" s="189">
        <v>4444880</v>
      </c>
      <c r="D141" s="174">
        <f>323420474-C141-B141</f>
        <v>172766053</v>
      </c>
      <c r="E141" s="297">
        <f>SUM(B141:D141)</f>
        <v>323420474</v>
      </c>
      <c r="F141" s="32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7" t="s">
        <v>246</v>
      </c>
      <c r="B142" s="174">
        <v>107712012</v>
      </c>
      <c r="C142" s="189">
        <v>3930422</v>
      </c>
      <c r="D142" s="174">
        <f>339741575-C142-B142</f>
        <v>228099141</v>
      </c>
      <c r="E142" s="297">
        <f>SUM(B142:D142)</f>
        <v>339741575</v>
      </c>
      <c r="F142" s="32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21" t="s">
        <v>299</v>
      </c>
      <c r="B143" s="322" t="s">
        <v>296</v>
      </c>
      <c r="C143" s="323" t="s">
        <v>297</v>
      </c>
      <c r="D143" s="322" t="s">
        <v>132</v>
      </c>
      <c r="E143" s="322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7" t="s">
        <v>277</v>
      </c>
      <c r="B144" s="174">
        <v>0</v>
      </c>
      <c r="C144" s="174">
        <v>0</v>
      </c>
      <c r="D144" s="174">
        <v>0</v>
      </c>
      <c r="E144" s="297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7" t="s">
        <v>215</v>
      </c>
      <c r="B145" s="174">
        <v>0</v>
      </c>
      <c r="C145" s="174">
        <v>0</v>
      </c>
      <c r="D145" s="174">
        <v>0</v>
      </c>
      <c r="E145" s="297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7" t="s">
        <v>298</v>
      </c>
      <c r="B146" s="174">
        <v>0</v>
      </c>
      <c r="C146" s="174">
        <v>0</v>
      </c>
      <c r="D146" s="174">
        <v>0</v>
      </c>
      <c r="E146" s="297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7" t="s">
        <v>245</v>
      </c>
      <c r="B147" s="174">
        <v>0</v>
      </c>
      <c r="C147" s="174">
        <v>0</v>
      </c>
      <c r="D147" s="174">
        <v>0</v>
      </c>
      <c r="E147" s="297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7" t="s">
        <v>246</v>
      </c>
      <c r="B148" s="174">
        <v>0</v>
      </c>
      <c r="C148" s="174">
        <v>0</v>
      </c>
      <c r="D148" s="174">
        <v>0</v>
      </c>
      <c r="E148" s="297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21" t="s">
        <v>300</v>
      </c>
      <c r="B149" s="322" t="s">
        <v>296</v>
      </c>
      <c r="C149" s="323" t="s">
        <v>297</v>
      </c>
      <c r="D149" s="322" t="s">
        <v>132</v>
      </c>
      <c r="E149" s="322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7" t="s">
        <v>277</v>
      </c>
      <c r="B150" s="174">
        <v>0</v>
      </c>
      <c r="C150" s="174">
        <v>0</v>
      </c>
      <c r="D150" s="174">
        <v>0</v>
      </c>
      <c r="E150" s="297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7" t="s">
        <v>215</v>
      </c>
      <c r="B151" s="174">
        <v>0</v>
      </c>
      <c r="C151" s="174">
        <v>0</v>
      </c>
      <c r="D151" s="174">
        <v>0</v>
      </c>
      <c r="E151" s="297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7" t="s">
        <v>298</v>
      </c>
      <c r="B152" s="174">
        <v>0</v>
      </c>
      <c r="C152" s="174">
        <v>0</v>
      </c>
      <c r="D152" s="174">
        <v>0</v>
      </c>
      <c r="E152" s="297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7" t="s">
        <v>245</v>
      </c>
      <c r="B153" s="174">
        <v>0</v>
      </c>
      <c r="C153" s="174">
        <v>0</v>
      </c>
      <c r="D153" s="174">
        <v>0</v>
      </c>
      <c r="E153" s="297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7" t="s">
        <v>246</v>
      </c>
      <c r="B154" s="174">
        <v>0</v>
      </c>
      <c r="C154" s="174">
        <v>0</v>
      </c>
      <c r="D154" s="174">
        <v>0</v>
      </c>
      <c r="E154" s="297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3"/>
      <c r="B155" s="303"/>
      <c r="C155" s="325"/>
      <c r="D155" s="326"/>
      <c r="E155" s="29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21" t="s">
        <v>301</v>
      </c>
      <c r="B156" s="322" t="s">
        <v>302</v>
      </c>
      <c r="C156" s="323" t="s">
        <v>303</v>
      </c>
      <c r="D156" s="297"/>
      <c r="E156" s="29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3" t="s">
        <v>304</v>
      </c>
      <c r="B157" s="174">
        <v>0</v>
      </c>
      <c r="C157" s="174">
        <v>0</v>
      </c>
      <c r="D157" s="297"/>
      <c r="E157" s="29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3"/>
      <c r="B158" s="326"/>
      <c r="C158" s="325"/>
      <c r="D158" s="297"/>
      <c r="E158" s="29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3"/>
      <c r="B159" s="303"/>
      <c r="C159" s="325"/>
      <c r="D159" s="326"/>
      <c r="E159" s="29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3"/>
      <c r="B160" s="303"/>
      <c r="C160" s="325"/>
      <c r="D160" s="326"/>
      <c r="E160" s="29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3"/>
      <c r="B161" s="303"/>
      <c r="C161" s="325"/>
      <c r="D161" s="326"/>
      <c r="E161" s="29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3"/>
      <c r="B162" s="303"/>
      <c r="C162" s="325"/>
      <c r="D162" s="326"/>
      <c r="E162" s="29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20" t="s">
        <v>305</v>
      </c>
      <c r="B163" s="313"/>
      <c r="C163" s="313"/>
      <c r="D163" s="313"/>
      <c r="E163" s="3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8" t="s">
        <v>306</v>
      </c>
      <c r="B164" s="318"/>
      <c r="C164" s="318"/>
      <c r="D164" s="318"/>
      <c r="E164" s="31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7" t="s">
        <v>307</v>
      </c>
      <c r="B165" s="314" t="s">
        <v>256</v>
      </c>
      <c r="C165" s="189">
        <f>3002930.53-28006.22-149016.79</f>
        <v>2825907.5199999996</v>
      </c>
      <c r="D165" s="297"/>
      <c r="E165" s="29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7" t="s">
        <v>308</v>
      </c>
      <c r="B166" s="314" t="s">
        <v>256</v>
      </c>
      <c r="C166" s="189">
        <f>28006.22+149016.79</f>
        <v>177023.01</v>
      </c>
      <c r="D166" s="297"/>
      <c r="E166" s="29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3" t="s">
        <v>309</v>
      </c>
      <c r="B167" s="314" t="s">
        <v>256</v>
      </c>
      <c r="C167" s="189">
        <v>475736.23</v>
      </c>
      <c r="D167" s="297"/>
      <c r="E167" s="29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7" t="s">
        <v>310</v>
      </c>
      <c r="B168" s="314" t="s">
        <v>256</v>
      </c>
      <c r="C168" s="189">
        <f>-167228.31-1091033.34+3998060.89</f>
        <v>2739799.24</v>
      </c>
      <c r="D168" s="297"/>
      <c r="E168" s="29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7" t="s">
        <v>311</v>
      </c>
      <c r="B169" s="314" t="s">
        <v>256</v>
      </c>
      <c r="C169" s="189">
        <f>111821.7-9060.96</f>
        <v>102760.73999999999</v>
      </c>
      <c r="D169" s="297"/>
      <c r="E169" s="297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7" t="s">
        <v>312</v>
      </c>
      <c r="B170" s="314" t="s">
        <v>256</v>
      </c>
      <c r="C170" s="189">
        <v>0</v>
      </c>
      <c r="D170" s="297"/>
      <c r="E170" s="297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7" t="s">
        <v>313</v>
      </c>
      <c r="B171" s="314" t="s">
        <v>256</v>
      </c>
      <c r="C171" s="189">
        <v>0</v>
      </c>
      <c r="D171" s="297"/>
      <c r="E171" s="29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7" t="s">
        <v>313</v>
      </c>
      <c r="B172" s="314" t="s">
        <v>256</v>
      </c>
      <c r="C172" s="189">
        <f>43465.35+53306.95+55142.25+40356.35+1231.25</f>
        <v>193502.15</v>
      </c>
      <c r="D172" s="297"/>
      <c r="E172" s="29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7" t="s">
        <v>203</v>
      </c>
      <c r="B173" s="297"/>
      <c r="C173" s="305"/>
      <c r="D173" s="297">
        <f>SUM(C165:C172)</f>
        <v>6514728.8900000006</v>
      </c>
      <c r="E173" s="29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8" t="s">
        <v>314</v>
      </c>
      <c r="B174" s="318"/>
      <c r="C174" s="318"/>
      <c r="D174" s="318"/>
      <c r="E174" s="31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7" t="s">
        <v>315</v>
      </c>
      <c r="B175" s="314" t="s">
        <v>256</v>
      </c>
      <c r="C175" s="189">
        <f>585256.04+87425.91</f>
        <v>672681.95000000007</v>
      </c>
      <c r="D175" s="297"/>
      <c r="E175" s="29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7" t="s">
        <v>316</v>
      </c>
      <c r="B176" s="314" t="s">
        <v>256</v>
      </c>
      <c r="C176" s="189">
        <f>2271361.27-C175</f>
        <v>1598679.3199999998</v>
      </c>
      <c r="D176" s="297"/>
      <c r="E176" s="29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7" t="s">
        <v>203</v>
      </c>
      <c r="B177" s="297"/>
      <c r="C177" s="305"/>
      <c r="D177" s="297">
        <f>SUM(C175:C176)</f>
        <v>2271361.27</v>
      </c>
      <c r="E177" s="29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8" t="s">
        <v>317</v>
      </c>
      <c r="B178" s="318"/>
      <c r="C178" s="318"/>
      <c r="D178" s="318"/>
      <c r="E178" s="31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7" t="s">
        <v>318</v>
      </c>
      <c r="B179" s="314" t="s">
        <v>256</v>
      </c>
      <c r="C179" s="189">
        <v>34723.25</v>
      </c>
      <c r="D179" s="297"/>
      <c r="E179" s="297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7" t="s">
        <v>319</v>
      </c>
      <c r="B180" s="314" t="s">
        <v>256</v>
      </c>
      <c r="C180" s="189">
        <v>183297.34</v>
      </c>
      <c r="D180" s="297"/>
      <c r="E180" s="29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7" t="s">
        <v>203</v>
      </c>
      <c r="B181" s="297"/>
      <c r="C181" s="305"/>
      <c r="D181" s="297">
        <f>SUM(C179:C180)</f>
        <v>218020.59</v>
      </c>
      <c r="E181" s="29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8" t="s">
        <v>320</v>
      </c>
      <c r="B182" s="318"/>
      <c r="C182" s="318"/>
      <c r="D182" s="318"/>
      <c r="E182" s="31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7" t="s">
        <v>321</v>
      </c>
      <c r="B183" s="314" t="s">
        <v>256</v>
      </c>
      <c r="C183" s="189">
        <v>0</v>
      </c>
      <c r="D183" s="297"/>
      <c r="E183" s="29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7" t="s">
        <v>322</v>
      </c>
      <c r="B184" s="314" t="s">
        <v>256</v>
      </c>
      <c r="C184" s="189">
        <v>590761.77</v>
      </c>
      <c r="D184" s="297"/>
      <c r="E184" s="29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7" t="s">
        <v>132</v>
      </c>
      <c r="B185" s="314" t="s">
        <v>256</v>
      </c>
      <c r="C185" s="189">
        <v>4440617.3899999997</v>
      </c>
      <c r="D185" s="297"/>
      <c r="E185" s="29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7" t="s">
        <v>203</v>
      </c>
      <c r="B186" s="297"/>
      <c r="C186" s="305"/>
      <c r="D186" s="297">
        <f>SUM(C183:C185)</f>
        <v>5031379.16</v>
      </c>
      <c r="E186" s="29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8" t="s">
        <v>323</v>
      </c>
      <c r="B187" s="318"/>
      <c r="C187" s="318"/>
      <c r="D187" s="318"/>
      <c r="E187" s="31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7" t="s">
        <v>324</v>
      </c>
      <c r="B188" s="314" t="s">
        <v>256</v>
      </c>
      <c r="C188" s="189">
        <v>0</v>
      </c>
      <c r="D188" s="297"/>
      <c r="E188" s="29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7" t="s">
        <v>325</v>
      </c>
      <c r="B189" s="314" t="s">
        <v>256</v>
      </c>
      <c r="C189" s="189">
        <v>9967859</v>
      </c>
      <c r="D189" s="297"/>
      <c r="E189" s="29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7" t="s">
        <v>203</v>
      </c>
      <c r="B190" s="297"/>
      <c r="C190" s="305"/>
      <c r="D190" s="297">
        <f>SUM(C188:C189)</f>
        <v>9967859</v>
      </c>
      <c r="E190" s="29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7"/>
      <c r="B191" s="297"/>
      <c r="C191" s="305"/>
      <c r="D191" s="297"/>
      <c r="E191" s="29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3" t="s">
        <v>326</v>
      </c>
      <c r="B192" s="313"/>
      <c r="C192" s="313"/>
      <c r="D192" s="313"/>
      <c r="E192" s="3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20" t="s">
        <v>327</v>
      </c>
      <c r="B193" s="313"/>
      <c r="C193" s="313"/>
      <c r="D193" s="313"/>
      <c r="E193" s="3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4"/>
      <c r="B194" s="299" t="s">
        <v>328</v>
      </c>
      <c r="C194" s="298" t="s">
        <v>329</v>
      </c>
      <c r="D194" s="299" t="s">
        <v>330</v>
      </c>
      <c r="E194" s="299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7" t="s">
        <v>332</v>
      </c>
      <c r="B195" s="174">
        <v>3160000</v>
      </c>
      <c r="C195" s="189">
        <v>0</v>
      </c>
      <c r="D195" s="174">
        <v>0</v>
      </c>
      <c r="E195" s="297">
        <f t="shared" ref="E195:E203" si="10">SUM(B195:C195)-D195</f>
        <v>3160000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7" t="s">
        <v>333</v>
      </c>
      <c r="B196" s="174">
        <v>709999.66</v>
      </c>
      <c r="C196" s="189">
        <v>0</v>
      </c>
      <c r="D196" s="174">
        <v>0</v>
      </c>
      <c r="E196" s="297">
        <f t="shared" si="10"/>
        <v>709999.66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7" t="s">
        <v>334</v>
      </c>
      <c r="B197" s="174">
        <v>38437221</v>
      </c>
      <c r="C197" s="189">
        <v>0</v>
      </c>
      <c r="D197" s="174">
        <v>0</v>
      </c>
      <c r="E197" s="297">
        <f t="shared" si="10"/>
        <v>38437221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7" t="s">
        <v>335</v>
      </c>
      <c r="B198" s="174">
        <v>0</v>
      </c>
      <c r="C198" s="189">
        <v>0</v>
      </c>
      <c r="D198" s="174">
        <v>0</v>
      </c>
      <c r="E198" s="297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7" t="s">
        <v>336</v>
      </c>
      <c r="B199" s="174">
        <v>20643490.839999996</v>
      </c>
      <c r="C199" s="189">
        <f>439940.5-8841.1+31748.04</f>
        <v>462847.44</v>
      </c>
      <c r="D199" s="174">
        <v>0</v>
      </c>
      <c r="E199" s="297">
        <f t="shared" si="10"/>
        <v>21106338.279999997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7" t="s">
        <v>337</v>
      </c>
      <c r="B200" s="174">
        <v>11349474.07</v>
      </c>
      <c r="C200" s="189">
        <f>4807.65+4356+40100+6304+64702.94+41587.73-5287.94-1000+21898.75+16900.84-6503.73+77738.42+21820.1+1455746.66+39938.31+355678.11+2</f>
        <v>2138789.84</v>
      </c>
      <c r="D200" s="174">
        <v>0</v>
      </c>
      <c r="E200" s="297">
        <f t="shared" si="10"/>
        <v>13488263.91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7" t="s">
        <v>338</v>
      </c>
      <c r="B201" s="174">
        <v>6389514.5499999998</v>
      </c>
      <c r="C201" s="189">
        <f>87872+690298+27640+302744+2963</f>
        <v>1111517</v>
      </c>
      <c r="D201" s="174">
        <v>0</v>
      </c>
      <c r="E201" s="297">
        <f t="shared" si="10"/>
        <v>7501031.5499999998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7" t="s">
        <v>339</v>
      </c>
      <c r="B202" s="174">
        <v>4521546</v>
      </c>
      <c r="C202" s="189">
        <v>0</v>
      </c>
      <c r="D202" s="174">
        <v>0</v>
      </c>
      <c r="E202" s="297">
        <f t="shared" si="10"/>
        <v>4521546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7" t="s">
        <v>340</v>
      </c>
      <c r="B203" s="174">
        <v>978434</v>
      </c>
      <c r="C203" s="189">
        <f>-262136+1</f>
        <v>-262135</v>
      </c>
      <c r="D203" s="174">
        <v>0</v>
      </c>
      <c r="E203" s="297">
        <f t="shared" si="10"/>
        <v>716299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7" t="s">
        <v>203</v>
      </c>
      <c r="B204" s="297">
        <f>SUM(B195:B203)</f>
        <v>86189680.11999999</v>
      </c>
      <c r="C204" s="305">
        <f>SUM(C195:C203)</f>
        <v>3451019.28</v>
      </c>
      <c r="D204" s="297">
        <f>SUM(D195:D203)</f>
        <v>0</v>
      </c>
      <c r="E204" s="297">
        <f>SUM(E195:E203)</f>
        <v>89640699.399999991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7"/>
      <c r="B205" s="297"/>
      <c r="C205" s="305"/>
      <c r="D205" s="297"/>
      <c r="E205" s="297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20" t="s">
        <v>341</v>
      </c>
      <c r="B206" s="320"/>
      <c r="C206" s="320"/>
      <c r="D206" s="320"/>
      <c r="E206" s="32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4"/>
      <c r="B207" s="299" t="s">
        <v>328</v>
      </c>
      <c r="C207" s="298" t="s">
        <v>329</v>
      </c>
      <c r="D207" s="299" t="s">
        <v>330</v>
      </c>
      <c r="E207" s="299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7" t="s">
        <v>332</v>
      </c>
      <c r="B208" s="326"/>
      <c r="C208" s="325"/>
      <c r="D208" s="326"/>
      <c r="E208" s="297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7" t="s">
        <v>333</v>
      </c>
      <c r="B209" s="174">
        <v>236665.67</v>
      </c>
      <c r="C209" s="189">
        <v>88750</v>
      </c>
      <c r="D209" s="174">
        <v>0</v>
      </c>
      <c r="E209" s="297">
        <f t="shared" ref="E209:E216" si="11">SUM(B209:C209)-D209</f>
        <v>325415.67000000004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7" t="s">
        <v>334</v>
      </c>
      <c r="B210" s="174">
        <v>4246227.0199999996</v>
      </c>
      <c r="C210" s="189">
        <f>1736481+1</f>
        <v>1736482</v>
      </c>
      <c r="D210" s="174">
        <v>0</v>
      </c>
      <c r="E210" s="297">
        <f t="shared" si="11"/>
        <v>5982709.0199999996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7" t="s">
        <v>335</v>
      </c>
      <c r="B211" s="174">
        <v>0</v>
      </c>
      <c r="C211" s="189">
        <v>0</v>
      </c>
      <c r="D211" s="174">
        <v>0</v>
      </c>
      <c r="E211" s="297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7" t="s">
        <v>336</v>
      </c>
      <c r="B212" s="174">
        <v>1453340</v>
      </c>
      <c r="C212" s="189">
        <f>1031950+7213+2</f>
        <v>1039165</v>
      </c>
      <c r="D212" s="174">
        <v>0</v>
      </c>
      <c r="E212" s="297">
        <f t="shared" si="11"/>
        <v>2492505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7" t="s">
        <v>337</v>
      </c>
      <c r="B213" s="174">
        <v>4370957.67</v>
      </c>
      <c r="C213" s="189">
        <f>1582988+13+10</f>
        <v>1583011</v>
      </c>
      <c r="D213" s="174">
        <v>0</v>
      </c>
      <c r="E213" s="297">
        <f t="shared" si="11"/>
        <v>5953968.6699999999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7" t="s">
        <v>338</v>
      </c>
      <c r="B214" s="174">
        <v>1445352</v>
      </c>
      <c r="C214" s="189">
        <f>794846+3</f>
        <v>794849</v>
      </c>
      <c r="D214" s="174">
        <v>0</v>
      </c>
      <c r="E214" s="297">
        <f t="shared" si="11"/>
        <v>2240201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7" t="s">
        <v>339</v>
      </c>
      <c r="B215" s="174">
        <v>923974</v>
      </c>
      <c r="C215" s="189">
        <f>42554+272000</f>
        <v>314554</v>
      </c>
      <c r="D215" s="174">
        <v>0</v>
      </c>
      <c r="E215" s="297">
        <f t="shared" si="11"/>
        <v>1238528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7" t="s">
        <v>340</v>
      </c>
      <c r="B216" s="174">
        <v>0</v>
      </c>
      <c r="C216" s="189">
        <v>0</v>
      </c>
      <c r="D216" s="174">
        <v>0</v>
      </c>
      <c r="E216" s="297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7" t="s">
        <v>203</v>
      </c>
      <c r="B217" s="297">
        <f>SUM(B208:B216)</f>
        <v>12676516.359999999</v>
      </c>
      <c r="C217" s="305">
        <f>SUM(C208:C216)</f>
        <v>5556811</v>
      </c>
      <c r="D217" s="297">
        <f>SUM(D208:D216)</f>
        <v>0</v>
      </c>
      <c r="E217" s="297">
        <f>SUM(E208:E216)</f>
        <v>18233327.359999999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7"/>
      <c r="B218" s="297"/>
      <c r="C218" s="305"/>
      <c r="D218" s="297"/>
      <c r="E218" s="297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3" t="s">
        <v>342</v>
      </c>
      <c r="B219" s="313"/>
      <c r="C219" s="313"/>
      <c r="D219" s="313"/>
      <c r="E219" s="3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3"/>
      <c r="B220" s="343" t="s">
        <v>1254</v>
      </c>
      <c r="C220" s="343"/>
      <c r="D220" s="313"/>
      <c r="E220" s="3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7" t="s">
        <v>1254</v>
      </c>
      <c r="B221" s="313"/>
      <c r="C221" s="189">
        <v>3308655</v>
      </c>
      <c r="D221" s="314">
        <f>C221</f>
        <v>3308655</v>
      </c>
      <c r="E221" s="3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8" t="s">
        <v>343</v>
      </c>
      <c r="B222" s="318"/>
      <c r="C222" s="318"/>
      <c r="D222" s="318"/>
      <c r="E222" s="31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7" t="s">
        <v>344</v>
      </c>
      <c r="B223" s="314" t="s">
        <v>256</v>
      </c>
      <c r="C223" s="189">
        <v>214798355</v>
      </c>
      <c r="D223" s="297"/>
      <c r="E223" s="29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7" t="s">
        <v>345</v>
      </c>
      <c r="B224" s="314" t="s">
        <v>256</v>
      </c>
      <c r="C224" s="189">
        <v>4056933</v>
      </c>
      <c r="D224" s="297"/>
      <c r="E224" s="29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7" t="s">
        <v>346</v>
      </c>
      <c r="B225" s="314" t="s">
        <v>256</v>
      </c>
      <c r="C225" s="189">
        <v>7956375.1799999997</v>
      </c>
      <c r="D225" s="297"/>
      <c r="E225" s="29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7" t="s">
        <v>347</v>
      </c>
      <c r="B226" s="314" t="s">
        <v>256</v>
      </c>
      <c r="C226" s="189">
        <v>15551635.07</v>
      </c>
      <c r="D226" s="297"/>
      <c r="E226" s="29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7" t="s">
        <v>348</v>
      </c>
      <c r="B227" s="314" t="s">
        <v>256</v>
      </c>
      <c r="C227" s="189">
        <v>0</v>
      </c>
      <c r="D227" s="297"/>
      <c r="E227" s="29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7" t="s">
        <v>349</v>
      </c>
      <c r="B228" s="314" t="s">
        <v>256</v>
      </c>
      <c r="C228" s="189">
        <f>290077565.71+151741</f>
        <v>290229306.70999998</v>
      </c>
      <c r="D228" s="297"/>
      <c r="E228" s="29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7" t="s">
        <v>350</v>
      </c>
      <c r="B229" s="297"/>
      <c r="C229" s="305"/>
      <c r="D229" s="297">
        <f>SUM(C223:C228)</f>
        <v>532592604.95999998</v>
      </c>
      <c r="E229" s="29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8" t="s">
        <v>351</v>
      </c>
      <c r="B230" s="318"/>
      <c r="C230" s="318"/>
      <c r="D230" s="318"/>
      <c r="E230" s="31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4" t="s">
        <v>352</v>
      </c>
      <c r="B231" s="314" t="s">
        <v>256</v>
      </c>
      <c r="C231" s="189">
        <v>0</v>
      </c>
      <c r="D231" s="297"/>
      <c r="E231" s="297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4"/>
      <c r="B232" s="314"/>
      <c r="C232" s="305"/>
      <c r="D232" s="297"/>
      <c r="E232" s="29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4" t="s">
        <v>353</v>
      </c>
      <c r="B233" s="314" t="s">
        <v>256</v>
      </c>
      <c r="C233" s="189">
        <f>573550.19+2334621.94+1909.61+107590.6+102128.42-79945.22+27980.83</f>
        <v>3067836.3699999996</v>
      </c>
      <c r="D233" s="297"/>
      <c r="E233" s="29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4" t="s">
        <v>354</v>
      </c>
      <c r="B234" s="314" t="s">
        <v>256</v>
      </c>
      <c r="C234" s="189">
        <f>747737.14+1243866.41+303055.82+1984.73+264174.3-88934.5+31127.08</f>
        <v>2503010.9799999995</v>
      </c>
      <c r="D234" s="297"/>
      <c r="E234" s="297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7"/>
      <c r="B235" s="297"/>
      <c r="C235" s="305"/>
      <c r="D235" s="297"/>
      <c r="E235" s="297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4" t="s">
        <v>355</v>
      </c>
      <c r="B236" s="297"/>
      <c r="C236" s="305"/>
      <c r="D236" s="297">
        <f>SUM(C233:C235)</f>
        <v>5570847.3499999996</v>
      </c>
      <c r="E236" s="29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8" t="s">
        <v>356</v>
      </c>
      <c r="B237" s="318"/>
      <c r="C237" s="318"/>
      <c r="D237" s="318"/>
      <c r="E237" s="31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7" t="s">
        <v>357</v>
      </c>
      <c r="B238" s="314" t="s">
        <v>256</v>
      </c>
      <c r="C238" s="189"/>
      <c r="D238" s="297"/>
      <c r="E238" s="29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7" t="s">
        <v>356</v>
      </c>
      <c r="B239" s="314" t="s">
        <v>256</v>
      </c>
      <c r="C239" s="189"/>
      <c r="D239" s="297"/>
      <c r="E239" s="297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7" t="s">
        <v>358</v>
      </c>
      <c r="B240" s="297"/>
      <c r="C240" s="305"/>
      <c r="D240" s="297">
        <f>SUM(C238:C239)</f>
        <v>0</v>
      </c>
      <c r="E240" s="297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7"/>
      <c r="B241" s="297"/>
      <c r="C241" s="305"/>
      <c r="D241" s="297"/>
      <c r="E241" s="297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7" t="s">
        <v>359</v>
      </c>
      <c r="B242" s="297"/>
      <c r="C242" s="305"/>
      <c r="D242" s="297">
        <f>D221+D229+D236+D240</f>
        <v>541472107.30999994</v>
      </c>
      <c r="E242" s="297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7"/>
      <c r="B243" s="297"/>
      <c r="C243" s="305"/>
      <c r="D243" s="297"/>
      <c r="E243" s="297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7"/>
      <c r="B244" s="297"/>
      <c r="C244" s="305"/>
      <c r="D244" s="297"/>
      <c r="E244" s="29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7"/>
      <c r="B245" s="297"/>
      <c r="C245" s="305"/>
      <c r="D245" s="297"/>
      <c r="E245" s="29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7"/>
      <c r="B246" s="297"/>
      <c r="C246" s="305"/>
      <c r="D246" s="297"/>
      <c r="E246" s="29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7"/>
      <c r="B247" s="297"/>
      <c r="C247" s="305"/>
      <c r="D247" s="297"/>
      <c r="E247" s="297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3" t="s">
        <v>360</v>
      </c>
      <c r="B248" s="313"/>
      <c r="C248" s="313"/>
      <c r="D248" s="313"/>
      <c r="E248" s="3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8" t="s">
        <v>361</v>
      </c>
      <c r="B249" s="318"/>
      <c r="C249" s="318"/>
      <c r="D249" s="318"/>
      <c r="E249" s="31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7" t="s">
        <v>362</v>
      </c>
      <c r="B250" s="314" t="s">
        <v>256</v>
      </c>
      <c r="C250" s="189">
        <v>-267042</v>
      </c>
      <c r="D250" s="297"/>
      <c r="E250" s="29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7" t="s">
        <v>363</v>
      </c>
      <c r="B251" s="314" t="s">
        <v>256</v>
      </c>
      <c r="C251" s="189">
        <v>0</v>
      </c>
      <c r="D251" s="297"/>
      <c r="E251" s="29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7" t="s">
        <v>364</v>
      </c>
      <c r="B252" s="314" t="s">
        <v>256</v>
      </c>
      <c r="C252" s="189">
        <v>22626136</v>
      </c>
      <c r="D252" s="297"/>
      <c r="E252" s="29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7" t="s">
        <v>365</v>
      </c>
      <c r="B253" s="314" t="s">
        <v>256</v>
      </c>
      <c r="C253" s="189">
        <v>5909556</v>
      </c>
      <c r="D253" s="297"/>
      <c r="E253" s="29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7" t="s">
        <v>1240</v>
      </c>
      <c r="B254" s="314" t="s">
        <v>256</v>
      </c>
      <c r="C254" s="189">
        <v>0</v>
      </c>
      <c r="D254" s="297"/>
      <c r="E254" s="29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7" t="s">
        <v>366</v>
      </c>
      <c r="B255" s="314" t="s">
        <v>256</v>
      </c>
      <c r="C255" s="189">
        <v>1084535</v>
      </c>
      <c r="D255" s="297"/>
      <c r="E255" s="29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7" t="s">
        <v>367</v>
      </c>
      <c r="B256" s="314" t="s">
        <v>256</v>
      </c>
      <c r="C256" s="189">
        <v>74966</v>
      </c>
      <c r="D256" s="297"/>
      <c r="E256" s="29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7" t="s">
        <v>368</v>
      </c>
      <c r="B257" s="314" t="s">
        <v>256</v>
      </c>
      <c r="C257" s="189">
        <v>3807965</v>
      </c>
      <c r="D257" s="297"/>
      <c r="E257" s="297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7" t="s">
        <v>369</v>
      </c>
      <c r="B258" s="314" t="s">
        <v>256</v>
      </c>
      <c r="C258" s="189">
        <v>668670</v>
      </c>
      <c r="D258" s="297"/>
      <c r="E258" s="297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7" t="s">
        <v>370</v>
      </c>
      <c r="B259" s="314" t="s">
        <v>256</v>
      </c>
      <c r="C259" s="189"/>
      <c r="D259" s="297"/>
      <c r="E259" s="297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7" t="s">
        <v>371</v>
      </c>
      <c r="B260" s="297"/>
      <c r="C260" s="305"/>
      <c r="D260" s="297">
        <f>SUM(C250:C252)-C253+SUM(C254:C259)</f>
        <v>22085674</v>
      </c>
      <c r="E260" s="297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8" t="s">
        <v>372</v>
      </c>
      <c r="B261" s="318"/>
      <c r="C261" s="318"/>
      <c r="D261" s="318"/>
      <c r="E261" s="31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7" t="s">
        <v>362</v>
      </c>
      <c r="B262" s="314" t="s">
        <v>256</v>
      </c>
      <c r="C262" s="189">
        <v>0</v>
      </c>
      <c r="D262" s="297"/>
      <c r="E262" s="297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7" t="s">
        <v>363</v>
      </c>
      <c r="B263" s="314" t="s">
        <v>256</v>
      </c>
      <c r="C263" s="189">
        <v>0</v>
      </c>
      <c r="D263" s="297"/>
      <c r="E263" s="297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7" t="s">
        <v>373</v>
      </c>
      <c r="B264" s="314" t="s">
        <v>256</v>
      </c>
      <c r="C264" s="189">
        <v>0</v>
      </c>
      <c r="D264" s="297"/>
      <c r="E264" s="297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7" t="s">
        <v>374</v>
      </c>
      <c r="B265" s="297"/>
      <c r="C265" s="305"/>
      <c r="D265" s="297">
        <f>SUM(C262:C264)</f>
        <v>0</v>
      </c>
      <c r="E265" s="297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8" t="s">
        <v>375</v>
      </c>
      <c r="B266" s="318"/>
      <c r="C266" s="318"/>
      <c r="D266" s="318"/>
      <c r="E266" s="31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7" t="s">
        <v>332</v>
      </c>
      <c r="B267" s="314" t="s">
        <v>256</v>
      </c>
      <c r="C267" s="189">
        <v>3160000</v>
      </c>
      <c r="D267" s="297"/>
      <c r="E267" s="297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7" t="s">
        <v>333</v>
      </c>
      <c r="B268" s="314" t="s">
        <v>256</v>
      </c>
      <c r="C268" s="189">
        <v>710000</v>
      </c>
      <c r="D268" s="297"/>
      <c r="E268" s="297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7" t="s">
        <v>334</v>
      </c>
      <c r="B269" s="314" t="s">
        <v>256</v>
      </c>
      <c r="C269" s="189">
        <f>40740000+1070000+409590+2720000+5300+1</f>
        <v>44944891</v>
      </c>
      <c r="D269" s="297"/>
      <c r="E269" s="297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7" t="s">
        <v>376</v>
      </c>
      <c r="B270" s="314" t="s">
        <v>256</v>
      </c>
      <c r="C270" s="189">
        <f>20976127+78911+51300</f>
        <v>21106338</v>
      </c>
      <c r="D270" s="297"/>
      <c r="E270" s="297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7" t="s">
        <v>377</v>
      </c>
      <c r="B271" s="314" t="s">
        <v>256</v>
      </c>
      <c r="C271" s="189">
        <v>0</v>
      </c>
      <c r="D271" s="297"/>
      <c r="E271" s="297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7" t="s">
        <v>378</v>
      </c>
      <c r="B272" s="314" t="s">
        <v>256</v>
      </c>
      <c r="C272" s="189">
        <f>6180801+5257546+1947584+214923+20400+681789+306462+2029479+1379247+1090873+27063-133000+4</f>
        <v>19003171</v>
      </c>
      <c r="D272" s="297"/>
      <c r="E272" s="297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7" t="s">
        <v>339</v>
      </c>
      <c r="B273" s="314" t="s">
        <v>256</v>
      </c>
      <c r="C273" s="189">
        <v>0</v>
      </c>
      <c r="D273" s="297"/>
      <c r="E273" s="297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7" t="s">
        <v>340</v>
      </c>
      <c r="B274" s="314" t="s">
        <v>256</v>
      </c>
      <c r="C274" s="189">
        <v>716299</v>
      </c>
      <c r="D274" s="297"/>
      <c r="E274" s="297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7" t="s">
        <v>379</v>
      </c>
      <c r="B275" s="297"/>
      <c r="C275" s="305"/>
      <c r="D275" s="297">
        <f>SUM(C267:C274)</f>
        <v>89640699</v>
      </c>
      <c r="E275" s="297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7" t="s">
        <v>380</v>
      </c>
      <c r="B276" s="314" t="s">
        <v>256</v>
      </c>
      <c r="C276" s="189">
        <v>18233327</v>
      </c>
      <c r="D276" s="297"/>
      <c r="E276" s="297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7" t="s">
        <v>381</v>
      </c>
      <c r="B277" s="297"/>
      <c r="C277" s="305"/>
      <c r="D277" s="297">
        <f>D275-C276</f>
        <v>71407372</v>
      </c>
      <c r="E277" s="297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8" t="s">
        <v>382</v>
      </c>
      <c r="B278" s="318"/>
      <c r="C278" s="318"/>
      <c r="D278" s="318"/>
      <c r="E278" s="31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7" t="s">
        <v>383</v>
      </c>
      <c r="B279" s="314" t="s">
        <v>256</v>
      </c>
      <c r="C279" s="189">
        <v>0</v>
      </c>
      <c r="D279" s="297"/>
      <c r="E279" s="297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7" t="s">
        <v>384</v>
      </c>
      <c r="B280" s="314" t="s">
        <v>256</v>
      </c>
      <c r="C280" s="189">
        <v>0</v>
      </c>
      <c r="D280" s="297"/>
      <c r="E280" s="297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7" t="s">
        <v>385</v>
      </c>
      <c r="B281" s="314" t="s">
        <v>256</v>
      </c>
      <c r="C281" s="189">
        <v>448809</v>
      </c>
      <c r="D281" s="297"/>
      <c r="E281" s="297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7" t="s">
        <v>373</v>
      </c>
      <c r="B282" s="314" t="s">
        <v>256</v>
      </c>
      <c r="C282" s="189">
        <v>605250</v>
      </c>
      <c r="D282" s="297"/>
      <c r="E282" s="297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7" t="s">
        <v>386</v>
      </c>
      <c r="B283" s="297"/>
      <c r="C283" s="305"/>
      <c r="D283" s="297">
        <f>C279-C280+C281+C282</f>
        <v>1054059</v>
      </c>
      <c r="E283" s="297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7"/>
      <c r="B284" s="297"/>
      <c r="C284" s="305"/>
      <c r="D284" s="297"/>
      <c r="E284" s="297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8" t="s">
        <v>387</v>
      </c>
      <c r="B285" s="318"/>
      <c r="C285" s="318"/>
      <c r="D285" s="318"/>
      <c r="E285" s="31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7" t="s">
        <v>388</v>
      </c>
      <c r="B286" s="314" t="s">
        <v>256</v>
      </c>
      <c r="C286" s="189"/>
      <c r="D286" s="297"/>
      <c r="E286" s="297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7" t="s">
        <v>389</v>
      </c>
      <c r="B287" s="314" t="s">
        <v>256</v>
      </c>
      <c r="C287" s="189"/>
      <c r="D287" s="297"/>
      <c r="E287" s="297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7" t="s">
        <v>390</v>
      </c>
      <c r="B288" s="314" t="s">
        <v>256</v>
      </c>
      <c r="C288" s="189"/>
      <c r="D288" s="297"/>
      <c r="E288" s="297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7" t="s">
        <v>391</v>
      </c>
      <c r="B289" s="314" t="s">
        <v>256</v>
      </c>
      <c r="C289" s="189"/>
      <c r="D289" s="297"/>
      <c r="E289" s="297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7" t="s">
        <v>392</v>
      </c>
      <c r="B290" s="297"/>
      <c r="C290" s="305"/>
      <c r="D290" s="297">
        <f>SUM(C286:C289)</f>
        <v>0</v>
      </c>
      <c r="E290" s="29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7"/>
      <c r="B291" s="297"/>
      <c r="C291" s="305"/>
      <c r="D291" s="297"/>
      <c r="E291" s="29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7" t="s">
        <v>393</v>
      </c>
      <c r="B292" s="297"/>
      <c r="C292" s="305"/>
      <c r="D292" s="297">
        <f>D260+D265+D277+D283+D290</f>
        <v>94547105</v>
      </c>
      <c r="E292" s="29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7"/>
      <c r="B293" s="297"/>
      <c r="C293" s="305"/>
      <c r="D293" s="297"/>
      <c r="E293" s="29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7"/>
      <c r="B294" s="297"/>
      <c r="C294" s="305"/>
      <c r="D294" s="297"/>
      <c r="E294" s="29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7"/>
      <c r="B295" s="297"/>
      <c r="C295" s="305"/>
      <c r="D295" s="297"/>
      <c r="E295" s="29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7"/>
      <c r="B296" s="297"/>
      <c r="C296" s="305"/>
      <c r="D296" s="297"/>
      <c r="E296" s="29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7"/>
      <c r="B297" s="297"/>
      <c r="C297" s="305"/>
      <c r="D297" s="297"/>
      <c r="E297" s="29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7"/>
      <c r="B298" s="297"/>
      <c r="C298" s="305"/>
      <c r="D298" s="297"/>
      <c r="E298" s="29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7"/>
      <c r="B299" s="297"/>
      <c r="C299" s="305"/>
      <c r="D299" s="297"/>
      <c r="E299" s="29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7"/>
      <c r="B300" s="297"/>
      <c r="C300" s="305"/>
      <c r="D300" s="297"/>
      <c r="E300" s="29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7"/>
      <c r="B301" s="297"/>
      <c r="C301" s="305"/>
      <c r="D301" s="297"/>
      <c r="E301" s="29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3" t="s">
        <v>394</v>
      </c>
      <c r="B302" s="313"/>
      <c r="C302" s="313"/>
      <c r="D302" s="313"/>
      <c r="E302" s="3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8" t="s">
        <v>395</v>
      </c>
      <c r="B303" s="318"/>
      <c r="C303" s="318"/>
      <c r="D303" s="318"/>
      <c r="E303" s="31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7" t="s">
        <v>396</v>
      </c>
      <c r="B304" s="314" t="s">
        <v>256</v>
      </c>
      <c r="C304" s="189">
        <v>0</v>
      </c>
      <c r="D304" s="297"/>
      <c r="E304" s="29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7" t="s">
        <v>397</v>
      </c>
      <c r="B305" s="314" t="s">
        <v>256</v>
      </c>
      <c r="C305" s="189">
        <v>4666218</v>
      </c>
      <c r="D305" s="297"/>
      <c r="E305" s="29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7" t="s">
        <v>398</v>
      </c>
      <c r="B306" s="314" t="s">
        <v>256</v>
      </c>
      <c r="C306" s="189">
        <v>3338432</v>
      </c>
      <c r="D306" s="297"/>
      <c r="E306" s="29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7" t="s">
        <v>399</v>
      </c>
      <c r="B307" s="314" t="s">
        <v>256</v>
      </c>
      <c r="C307" s="189">
        <v>226541</v>
      </c>
      <c r="D307" s="297"/>
      <c r="E307" s="29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7" t="s">
        <v>400</v>
      </c>
      <c r="B308" s="314" t="s">
        <v>256</v>
      </c>
      <c r="C308" s="189">
        <v>0</v>
      </c>
      <c r="D308" s="297"/>
      <c r="E308" s="29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7" t="s">
        <v>1241</v>
      </c>
      <c r="B309" s="314" t="s">
        <v>256</v>
      </c>
      <c r="C309" s="189">
        <v>0</v>
      </c>
      <c r="D309" s="297"/>
      <c r="E309" s="29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7" t="s">
        <v>401</v>
      </c>
      <c r="B310" s="314" t="s">
        <v>256</v>
      </c>
      <c r="C310" s="189">
        <v>0</v>
      </c>
      <c r="D310" s="297"/>
      <c r="E310" s="29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7" t="s">
        <v>402</v>
      </c>
      <c r="B311" s="314" t="s">
        <v>256</v>
      </c>
      <c r="C311" s="189">
        <v>0</v>
      </c>
      <c r="D311" s="297"/>
      <c r="E311" s="29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7" t="s">
        <v>403</v>
      </c>
      <c r="B312" s="314" t="s">
        <v>256</v>
      </c>
      <c r="C312" s="189">
        <f>272442+931865</f>
        <v>1204307</v>
      </c>
      <c r="D312" s="297"/>
      <c r="E312" s="29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7" t="s">
        <v>404</v>
      </c>
      <c r="B313" s="314" t="s">
        <v>256</v>
      </c>
      <c r="C313" s="189">
        <v>0</v>
      </c>
      <c r="D313" s="297"/>
      <c r="E313" s="297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7" t="s">
        <v>405</v>
      </c>
      <c r="B314" s="297"/>
      <c r="C314" s="305"/>
      <c r="D314" s="297">
        <f>SUM(C304:C313)</f>
        <v>9435498</v>
      </c>
      <c r="E314" s="297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8" t="s">
        <v>406</v>
      </c>
      <c r="B315" s="318"/>
      <c r="C315" s="318"/>
      <c r="D315" s="318"/>
      <c r="E315" s="31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7" t="s">
        <v>407</v>
      </c>
      <c r="B316" s="314" t="s">
        <v>256</v>
      </c>
      <c r="C316" s="189">
        <v>0</v>
      </c>
      <c r="D316" s="297"/>
      <c r="E316" s="297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7" t="s">
        <v>408</v>
      </c>
      <c r="B317" s="314" t="s">
        <v>256</v>
      </c>
      <c r="C317" s="189">
        <v>0</v>
      </c>
      <c r="D317" s="297"/>
      <c r="E317" s="297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7" t="s">
        <v>409</v>
      </c>
      <c r="B318" s="314" t="s">
        <v>256</v>
      </c>
      <c r="C318" s="189">
        <f>1933325+1</f>
        <v>1933326</v>
      </c>
      <c r="D318" s="297"/>
      <c r="E318" s="297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7" t="s">
        <v>410</v>
      </c>
      <c r="B319" s="297"/>
      <c r="C319" s="305"/>
      <c r="D319" s="297">
        <f>SUM(C316:C318)</f>
        <v>1933326</v>
      </c>
      <c r="E319" s="297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8" t="s">
        <v>411</v>
      </c>
      <c r="B320" s="318"/>
      <c r="C320" s="318"/>
      <c r="D320" s="318"/>
      <c r="E320" s="31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7" t="s">
        <v>412</v>
      </c>
      <c r="B321" s="314" t="s">
        <v>256</v>
      </c>
      <c r="C321" s="189">
        <v>0</v>
      </c>
      <c r="D321" s="297"/>
      <c r="E321" s="297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7" t="s">
        <v>413</v>
      </c>
      <c r="B322" s="314" t="s">
        <v>256</v>
      </c>
      <c r="C322" s="189">
        <v>0</v>
      </c>
      <c r="D322" s="297"/>
      <c r="E322" s="297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7" t="s">
        <v>414</v>
      </c>
      <c r="B323" s="314" t="s">
        <v>256</v>
      </c>
      <c r="C323" s="189">
        <v>0</v>
      </c>
      <c r="D323" s="297"/>
      <c r="E323" s="297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4" t="s">
        <v>415</v>
      </c>
      <c r="B324" s="314" t="s">
        <v>256</v>
      </c>
      <c r="C324" s="189">
        <v>1362434</v>
      </c>
      <c r="D324" s="297"/>
      <c r="E324" s="297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7" t="s">
        <v>416</v>
      </c>
      <c r="B325" s="314" t="s">
        <v>256</v>
      </c>
      <c r="C325" s="189">
        <v>0</v>
      </c>
      <c r="D325" s="297"/>
      <c r="E325" s="297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4" t="s">
        <v>417</v>
      </c>
      <c r="B326" s="314" t="s">
        <v>256</v>
      </c>
      <c r="C326" s="189">
        <v>69331239</v>
      </c>
      <c r="D326" s="297"/>
      <c r="E326" s="297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7" t="s">
        <v>418</v>
      </c>
      <c r="B327" s="314" t="s">
        <v>256</v>
      </c>
      <c r="C327" s="189">
        <v>0</v>
      </c>
      <c r="D327" s="297"/>
      <c r="E327" s="297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7" t="s">
        <v>203</v>
      </c>
      <c r="B328" s="297"/>
      <c r="C328" s="305"/>
      <c r="D328" s="297">
        <f>SUM(C321:C327)</f>
        <v>70693673</v>
      </c>
      <c r="E328" s="297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7" t="s">
        <v>419</v>
      </c>
      <c r="B329" s="297"/>
      <c r="C329" s="305"/>
      <c r="D329" s="297">
        <f>C313</f>
        <v>0</v>
      </c>
      <c r="E329" s="297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7" t="s">
        <v>420</v>
      </c>
      <c r="B330" s="297"/>
      <c r="C330" s="305"/>
      <c r="D330" s="297">
        <f>D328-D329</f>
        <v>70693673</v>
      </c>
      <c r="E330" s="297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7"/>
      <c r="B331" s="297"/>
      <c r="C331" s="305"/>
      <c r="D331" s="297"/>
      <c r="E331" s="297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7" t="s">
        <v>421</v>
      </c>
      <c r="B332" s="314" t="s">
        <v>256</v>
      </c>
      <c r="C332" s="222">
        <v>0</v>
      </c>
      <c r="D332" s="297"/>
      <c r="E332" s="297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7"/>
      <c r="B333" s="314"/>
      <c r="C333" s="232"/>
      <c r="D333" s="297"/>
      <c r="E333" s="297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7" t="s">
        <v>1142</v>
      </c>
      <c r="B334" s="314" t="s">
        <v>256</v>
      </c>
      <c r="C334" s="222">
        <v>0</v>
      </c>
      <c r="D334" s="297"/>
      <c r="E334" s="297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7" t="s">
        <v>1143</v>
      </c>
      <c r="B335" s="314" t="s">
        <v>256</v>
      </c>
      <c r="C335" s="222">
        <v>0</v>
      </c>
      <c r="D335" s="297"/>
      <c r="E335" s="297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7" t="s">
        <v>423</v>
      </c>
      <c r="B336" s="314" t="s">
        <v>256</v>
      </c>
      <c r="C336" s="222">
        <v>0</v>
      </c>
      <c r="D336" s="297"/>
      <c r="E336" s="297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7" t="s">
        <v>422</v>
      </c>
      <c r="B337" s="314" t="s">
        <v>256</v>
      </c>
      <c r="C337" s="189">
        <f>8556092+3928516</f>
        <v>12484608</v>
      </c>
      <c r="D337" s="297"/>
      <c r="E337" s="297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7" t="s">
        <v>1252</v>
      </c>
      <c r="B338" s="314" t="s">
        <v>256</v>
      </c>
      <c r="C338" s="189"/>
      <c r="D338" s="297"/>
      <c r="E338" s="297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7" t="s">
        <v>424</v>
      </c>
      <c r="B339" s="297"/>
      <c r="C339" s="305"/>
      <c r="D339" s="297">
        <f>D314+D319+D330+C332+C336+C337</f>
        <v>94547105</v>
      </c>
      <c r="E339" s="297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7"/>
      <c r="B340" s="297"/>
      <c r="C340" s="305"/>
      <c r="D340" s="297"/>
      <c r="E340" s="297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7" t="s">
        <v>425</v>
      </c>
      <c r="B341" s="297"/>
      <c r="C341" s="305"/>
      <c r="D341" s="297">
        <f>D292</f>
        <v>94547105</v>
      </c>
      <c r="E341" s="297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7"/>
      <c r="B342" s="297"/>
      <c r="C342" s="305"/>
      <c r="D342" s="297"/>
      <c r="E342" s="297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7"/>
      <c r="B343" s="297"/>
      <c r="C343" s="305"/>
      <c r="D343" s="297"/>
      <c r="E343" s="297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7"/>
      <c r="B344" s="297"/>
      <c r="C344" s="305"/>
      <c r="D344" s="297"/>
      <c r="E344" s="29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7"/>
      <c r="B345" s="297"/>
      <c r="C345" s="305"/>
      <c r="D345" s="297"/>
      <c r="E345" s="297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7"/>
      <c r="B346" s="297"/>
      <c r="C346" s="305"/>
      <c r="D346" s="297"/>
      <c r="E346" s="297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7"/>
      <c r="B347" s="297"/>
      <c r="C347" s="305"/>
      <c r="D347" s="297"/>
      <c r="E347" s="297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7"/>
      <c r="B348" s="297"/>
      <c r="C348" s="305"/>
      <c r="D348" s="297"/>
      <c r="E348" s="297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7"/>
      <c r="B349" s="297"/>
      <c r="C349" s="305"/>
      <c r="D349" s="297"/>
      <c r="E349" s="29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7"/>
      <c r="B350" s="297"/>
      <c r="C350" s="305"/>
      <c r="D350" s="297"/>
      <c r="E350" s="29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7"/>
      <c r="B351" s="297"/>
      <c r="C351" s="305"/>
      <c r="D351" s="297"/>
      <c r="E351" s="297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7"/>
      <c r="B352" s="297"/>
      <c r="C352" s="305"/>
      <c r="D352" s="297"/>
      <c r="E352" s="297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7"/>
      <c r="B353" s="297"/>
      <c r="C353" s="305"/>
      <c r="D353" s="297"/>
      <c r="E353" s="297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7"/>
      <c r="B354" s="297"/>
      <c r="C354" s="305"/>
      <c r="D354" s="297"/>
      <c r="E354" s="297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7"/>
      <c r="B355" s="297"/>
      <c r="C355" s="305"/>
      <c r="D355" s="297"/>
      <c r="E355" s="297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7"/>
      <c r="B356" s="297"/>
      <c r="C356" s="305"/>
      <c r="D356" s="297"/>
      <c r="E356" s="297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3" t="s">
        <v>426</v>
      </c>
      <c r="B357" s="313"/>
      <c r="C357" s="313"/>
      <c r="D357" s="313"/>
      <c r="E357" s="31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8" t="s">
        <v>427</v>
      </c>
      <c r="B358" s="318"/>
      <c r="C358" s="318"/>
      <c r="D358" s="318"/>
      <c r="E358" s="31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7" t="s">
        <v>428</v>
      </c>
      <c r="B359" s="314" t="s">
        <v>256</v>
      </c>
      <c r="C359" s="189">
        <f>65324344+258096130-1</f>
        <v>323420473</v>
      </c>
      <c r="D359" s="297"/>
      <c r="E359" s="297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7" t="s">
        <v>429</v>
      </c>
      <c r="B360" s="314" t="s">
        <v>256</v>
      </c>
      <c r="C360" s="189">
        <v>339741575</v>
      </c>
      <c r="D360" s="297"/>
      <c r="E360" s="297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7" t="s">
        <v>430</v>
      </c>
      <c r="B361" s="297"/>
      <c r="C361" s="305"/>
      <c r="D361" s="297">
        <f>SUM(C359:C360)</f>
        <v>663162048</v>
      </c>
      <c r="E361" s="297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8" t="s">
        <v>431</v>
      </c>
      <c r="B362" s="318"/>
      <c r="C362" s="318"/>
      <c r="D362" s="318"/>
      <c r="E362" s="31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7" t="s">
        <v>1254</v>
      </c>
      <c r="B363" s="318"/>
      <c r="C363" s="189">
        <v>3308655</v>
      </c>
      <c r="D363" s="297"/>
      <c r="E363" s="31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7" t="s">
        <v>432</v>
      </c>
      <c r="B364" s="314" t="s">
        <v>256</v>
      </c>
      <c r="C364" s="189">
        <f>5976961-51387+281182662+900049.39+230372.33+7956375.18+15551635.07+214798355+4056933</f>
        <v>530601955.96999997</v>
      </c>
      <c r="D364" s="297"/>
      <c r="E364" s="297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7" t="s">
        <v>433</v>
      </c>
      <c r="B365" s="314" t="s">
        <v>256</v>
      </c>
      <c r="C365" s="189">
        <f>5570847+1838907.99</f>
        <v>7409754.9900000002</v>
      </c>
      <c r="D365" s="297"/>
      <c r="E365" s="297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7" t="s">
        <v>434</v>
      </c>
      <c r="B366" s="314" t="s">
        <v>256</v>
      </c>
      <c r="C366" s="189">
        <v>151741.14000000001</v>
      </c>
      <c r="D366" s="297"/>
      <c r="E366" s="297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7" t="s">
        <v>359</v>
      </c>
      <c r="B367" s="297"/>
      <c r="C367" s="305"/>
      <c r="D367" s="297">
        <f>SUM(C363:C366)</f>
        <v>541472107.0999999</v>
      </c>
      <c r="E367" s="297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7" t="s">
        <v>435</v>
      </c>
      <c r="B368" s="297"/>
      <c r="C368" s="305"/>
      <c r="D368" s="297">
        <f>D361-D367</f>
        <v>121689940.9000001</v>
      </c>
      <c r="E368" s="297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8" t="s">
        <v>436</v>
      </c>
      <c r="B369" s="318"/>
      <c r="C369" s="318"/>
      <c r="D369" s="318"/>
      <c r="E369" s="31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7" t="s">
        <v>437</v>
      </c>
      <c r="B370" s="314" t="s">
        <v>256</v>
      </c>
      <c r="C370" s="189">
        <v>295926</v>
      </c>
      <c r="D370" s="297"/>
      <c r="E370" s="297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7" t="s">
        <v>438</v>
      </c>
      <c r="B371" s="314" t="s">
        <v>256</v>
      </c>
      <c r="C371" s="189">
        <v>0</v>
      </c>
      <c r="D371" s="297"/>
      <c r="E371" s="297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7" t="s">
        <v>439</v>
      </c>
      <c r="B372" s="297"/>
      <c r="C372" s="305"/>
      <c r="D372" s="297">
        <f>SUM(C370:C371)</f>
        <v>295926</v>
      </c>
      <c r="E372" s="297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7" t="s">
        <v>440</v>
      </c>
      <c r="B373" s="297"/>
      <c r="C373" s="305"/>
      <c r="D373" s="297">
        <f>D368+D372</f>
        <v>121985866.9000001</v>
      </c>
      <c r="E373" s="297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7"/>
      <c r="B374" s="297"/>
      <c r="C374" s="305"/>
      <c r="D374" s="297"/>
      <c r="E374" s="297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7"/>
      <c r="B375" s="297"/>
      <c r="C375" s="305"/>
      <c r="D375" s="297"/>
      <c r="E375" s="297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7"/>
      <c r="B376" s="297"/>
      <c r="C376" s="305"/>
      <c r="D376" s="297"/>
      <c r="E376" s="297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8" t="s">
        <v>441</v>
      </c>
      <c r="B377" s="318"/>
      <c r="C377" s="318"/>
      <c r="D377" s="318"/>
      <c r="E377" s="31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7" t="s">
        <v>442</v>
      </c>
      <c r="B378" s="314" t="s">
        <v>256</v>
      </c>
      <c r="C378" s="189">
        <v>39901049</v>
      </c>
      <c r="D378" s="297"/>
      <c r="E378" s="297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7" t="s">
        <v>3</v>
      </c>
      <c r="B379" s="314" t="s">
        <v>256</v>
      </c>
      <c r="C379" s="189">
        <v>6514729</v>
      </c>
      <c r="D379" s="297"/>
      <c r="E379" s="297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7" t="s">
        <v>236</v>
      </c>
      <c r="B380" s="314" t="s">
        <v>256</v>
      </c>
      <c r="C380" s="189">
        <v>3365384</v>
      </c>
      <c r="D380" s="297"/>
      <c r="E380" s="297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7" t="s">
        <v>443</v>
      </c>
      <c r="B381" s="314" t="s">
        <v>256</v>
      </c>
      <c r="C381" s="189">
        <v>23687061</v>
      </c>
      <c r="D381" s="297"/>
      <c r="E381" s="297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7" t="s">
        <v>444</v>
      </c>
      <c r="B382" s="314" t="s">
        <v>256</v>
      </c>
      <c r="C382" s="189">
        <v>1154786</v>
      </c>
      <c r="D382" s="297"/>
      <c r="E382" s="297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7" t="s">
        <v>445</v>
      </c>
      <c r="B383" s="314" t="s">
        <v>256</v>
      </c>
      <c r="C383" s="189">
        <v>9555213</v>
      </c>
      <c r="D383" s="297"/>
      <c r="E383" s="297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7" t="s">
        <v>6</v>
      </c>
      <c r="B384" s="314" t="s">
        <v>256</v>
      </c>
      <c r="C384" s="189">
        <v>5556791</v>
      </c>
      <c r="D384" s="297"/>
      <c r="E384" s="297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7" t="s">
        <v>446</v>
      </c>
      <c r="B385" s="314" t="s">
        <v>256</v>
      </c>
      <c r="C385" s="189">
        <v>2271361</v>
      </c>
      <c r="D385" s="297"/>
      <c r="E385" s="297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7" t="s">
        <v>447</v>
      </c>
      <c r="B386" s="314" t="s">
        <v>256</v>
      </c>
      <c r="C386" s="189">
        <v>218021</v>
      </c>
      <c r="D386" s="297"/>
      <c r="E386" s="29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7" t="s">
        <v>448</v>
      </c>
      <c r="B387" s="314" t="s">
        <v>256</v>
      </c>
      <c r="C387" s="189">
        <v>5031379</v>
      </c>
      <c r="D387" s="297"/>
      <c r="E387" s="29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7" t="s">
        <v>449</v>
      </c>
      <c r="B388" s="314" t="s">
        <v>256</v>
      </c>
      <c r="C388" s="189">
        <v>9967859</v>
      </c>
      <c r="D388" s="297"/>
      <c r="E388" s="29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7" t="s">
        <v>451</v>
      </c>
      <c r="B389" s="314" t="s">
        <v>256</v>
      </c>
      <c r="C389" s="189">
        <f>2437381+2911516+2607201+3091004-3693-209691</f>
        <v>10833718</v>
      </c>
      <c r="D389" s="297"/>
      <c r="E389" s="29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7" t="s">
        <v>452</v>
      </c>
      <c r="B390" s="297"/>
      <c r="C390" s="305"/>
      <c r="D390" s="297">
        <f>SUM(C378:C389)</f>
        <v>118057351</v>
      </c>
      <c r="E390" s="29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7" t="s">
        <v>453</v>
      </c>
      <c r="B391" s="297"/>
      <c r="C391" s="305"/>
      <c r="D391" s="297">
        <f>D373-D390</f>
        <v>3928515.9000000954</v>
      </c>
      <c r="E391" s="297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7" t="s">
        <v>454</v>
      </c>
      <c r="B392" s="314" t="s">
        <v>256</v>
      </c>
      <c r="C392" s="189"/>
      <c r="D392" s="297"/>
      <c r="E392" s="297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7" t="s">
        <v>455</v>
      </c>
      <c r="B393" s="297"/>
      <c r="C393" s="305"/>
      <c r="D393" s="297">
        <f>D391+C392</f>
        <v>3928515.9000000954</v>
      </c>
      <c r="E393" s="297"/>
      <c r="F393" s="32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7" t="s">
        <v>456</v>
      </c>
      <c r="B394" s="314" t="s">
        <v>256</v>
      </c>
      <c r="C394" s="189"/>
      <c r="D394" s="297"/>
      <c r="E394" s="297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7" t="s">
        <v>457</v>
      </c>
      <c r="B395" s="314" t="s">
        <v>256</v>
      </c>
      <c r="C395" s="189"/>
      <c r="D395" s="297"/>
      <c r="E395" s="297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7" t="s">
        <v>458</v>
      </c>
      <c r="B396" s="297"/>
      <c r="C396" s="305"/>
      <c r="D396" s="297">
        <f>D393+C394-C395</f>
        <v>3928515.9000000954</v>
      </c>
      <c r="E396" s="297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9" t="s">
        <v>459</v>
      </c>
      <c r="D411" s="2"/>
      <c r="E411" s="33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Capital Medical Center   H-0     FYE 12/31/2019</v>
      </c>
      <c r="B412" s="2"/>
      <c r="C412" s="2"/>
      <c r="D412" s="2"/>
      <c r="E412" s="33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9" t="s">
        <v>461</v>
      </c>
      <c r="C413" s="329" t="s">
        <v>1242</v>
      </c>
      <c r="D413" s="329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5030</v>
      </c>
      <c r="C414" s="2">
        <f>E138</f>
        <v>5030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17788</v>
      </c>
      <c r="C415" s="2">
        <f>E139</f>
        <v>17788</v>
      </c>
      <c r="D415" s="2">
        <f>SUM(C59:H59)+N59</f>
        <v>55183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31"/>
      <c r="B422" s="331"/>
      <c r="C422" s="329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637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1029</v>
      </c>
      <c r="C424" s="2"/>
      <c r="D424" s="2">
        <f>J59</f>
        <v>1113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31"/>
      <c r="B425" s="331"/>
      <c r="C425" s="331"/>
      <c r="D425" s="331"/>
      <c r="E425" s="2"/>
      <c r="F425" s="331"/>
      <c r="G425" s="33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9" t="s">
        <v>471</v>
      </c>
      <c r="C426" s="329" t="s">
        <v>462</v>
      </c>
      <c r="D426" s="329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39901049</v>
      </c>
      <c r="C427" s="2">
        <f t="shared" ref="C427:C434" si="13">CE61</f>
        <v>39901049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6514729</v>
      </c>
      <c r="C428" s="2">
        <f t="shared" si="13"/>
        <v>6825176</v>
      </c>
      <c r="D428" s="2">
        <f>D173</f>
        <v>6514728.8900000006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3365384</v>
      </c>
      <c r="C429" s="2">
        <f t="shared" si="13"/>
        <v>3365384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23687061</v>
      </c>
      <c r="C430" s="2">
        <f t="shared" si="13"/>
        <v>23687061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1154786</v>
      </c>
      <c r="C431" s="2">
        <f t="shared" si="13"/>
        <v>1154786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9555213</v>
      </c>
      <c r="C432" s="2">
        <f t="shared" si="13"/>
        <v>9555213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5556791</v>
      </c>
      <c r="C433" s="2">
        <f t="shared" si="13"/>
        <v>5556791</v>
      </c>
      <c r="D433" s="2">
        <f>C217</f>
        <v>5556811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2271361</v>
      </c>
      <c r="C434" s="2">
        <f t="shared" si="13"/>
        <v>2271361</v>
      </c>
      <c r="D434" s="2">
        <f>D177</f>
        <v>2271361.27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218021</v>
      </c>
      <c r="C435" s="2"/>
      <c r="D435" s="2">
        <f>D181</f>
        <v>218020.59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5031379</v>
      </c>
      <c r="C436" s="2"/>
      <c r="D436" s="2">
        <f>D186</f>
        <v>5031379.16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9967859</v>
      </c>
      <c r="C437" s="2"/>
      <c r="D437" s="2">
        <f>D190</f>
        <v>9967859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15217259</v>
      </c>
      <c r="C438" s="2">
        <f>CD69</f>
        <v>16964546</v>
      </c>
      <c r="D438" s="2">
        <f>D181+D186+D190</f>
        <v>15217258.75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10833718</v>
      </c>
      <c r="C439" s="2">
        <f>SUM(C69:CC69)</f>
        <v>9086431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26050977</v>
      </c>
      <c r="C440" s="2">
        <f>CE69</f>
        <v>26050977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118057351</v>
      </c>
      <c r="C441" s="2">
        <f>SUM(C427:C437)+C440</f>
        <v>118367798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31"/>
      <c r="B442" s="331"/>
      <c r="C442" s="331"/>
      <c r="D442" s="331"/>
      <c r="E442" s="2"/>
      <c r="F442" s="331"/>
      <c r="G442" s="33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9" t="s">
        <v>480</v>
      </c>
      <c r="C443" s="329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3308655</v>
      </c>
      <c r="C444" s="2">
        <f>C363</f>
        <v>3308655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532592604.95999998</v>
      </c>
      <c r="C445" s="2">
        <f>C364</f>
        <v>530601955.96999997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5570847.3499999996</v>
      </c>
      <c r="C446" s="2">
        <f>C365</f>
        <v>7409754.9900000002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151741.14000000001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541472107.30999994</v>
      </c>
      <c r="C448" s="2">
        <f>D367</f>
        <v>541472107.0999999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31"/>
      <c r="B449" s="331"/>
      <c r="C449" s="331"/>
      <c r="D449" s="331"/>
      <c r="E449" s="2"/>
      <c r="F449" s="331"/>
      <c r="G449" s="33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9" t="s">
        <v>482</v>
      </c>
      <c r="C450" s="331"/>
      <c r="D450" s="331"/>
      <c r="E450" s="2"/>
      <c r="F450" s="331"/>
      <c r="G450" s="33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9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9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4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3067836.3699999996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2503010.9799999995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31"/>
      <c r="B456" s="331"/>
      <c r="C456" s="331"/>
      <c r="D456" s="331"/>
      <c r="E456" s="2"/>
      <c r="F456" s="331"/>
      <c r="G456" s="33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9" t="s">
        <v>471</v>
      </c>
      <c r="C457" s="329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295926</v>
      </c>
      <c r="C458" s="2">
        <f>CE70</f>
        <v>295926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31"/>
      <c r="B460" s="331"/>
      <c r="C460" s="331"/>
      <c r="D460" s="331"/>
      <c r="E460" s="2"/>
      <c r="F460" s="331"/>
      <c r="G460" s="33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9"/>
      <c r="C461" s="329"/>
      <c r="D461" s="329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9" t="s">
        <v>471</v>
      </c>
      <c r="C462" s="329" t="s">
        <v>486</v>
      </c>
      <c r="D462" s="329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323420473</v>
      </c>
      <c r="C463" s="2">
        <f>CE73</f>
        <v>323420474</v>
      </c>
      <c r="D463" s="2">
        <f>E141+E147+E153</f>
        <v>323420474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339741575</v>
      </c>
      <c r="C464" s="2">
        <f>CE74</f>
        <v>339741572</v>
      </c>
      <c r="D464" s="2">
        <f>E142+E148+E154</f>
        <v>339741575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663162048</v>
      </c>
      <c r="C465" s="2">
        <f>CE75</f>
        <v>663162046</v>
      </c>
      <c r="D465" s="2">
        <f>D463+D464</f>
        <v>663162049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31"/>
      <c r="B466" s="331"/>
      <c r="C466" s="331"/>
      <c r="D466" s="331"/>
      <c r="E466" s="2"/>
      <c r="F466" s="331"/>
      <c r="G466" s="33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9" t="s">
        <v>492</v>
      </c>
      <c r="C467" s="329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3160000</v>
      </c>
      <c r="C468" s="2">
        <f>E195</f>
        <v>3160000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710000</v>
      </c>
      <c r="C469" s="2">
        <f>E196</f>
        <v>709999.66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44944891</v>
      </c>
      <c r="C470" s="2">
        <f>E197</f>
        <v>38437221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21106338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0</v>
      </c>
      <c r="C472" s="2">
        <f>E199</f>
        <v>21106338.279999997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19003171</v>
      </c>
      <c r="C473" s="2">
        <f>SUM(E200:E201)</f>
        <v>20989295.460000001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4521546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716299</v>
      </c>
      <c r="C475" s="2">
        <f>E203</f>
        <v>716299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89640699</v>
      </c>
      <c r="C476" s="2">
        <f>E204</f>
        <v>89640699.399999991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18233327</v>
      </c>
      <c r="C478" s="2">
        <f>E217</f>
        <v>18233327.359999999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94547105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94547105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4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4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4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2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4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197</v>
      </c>
      <c r="B493" s="333" t="str">
        <f>RIGHT('[1]Prior Year'!C83,4)</f>
        <v>2018</v>
      </c>
      <c r="C493" s="333" t="str">
        <f>RIGHT(C82,4)</f>
        <v>2019</v>
      </c>
      <c r="D493" s="333" t="str">
        <f>RIGHT('[1]Prior Year'!C83,4)</f>
        <v>2018</v>
      </c>
      <c r="E493" s="333" t="str">
        <f>RIGHT(C82,4)</f>
        <v>2019</v>
      </c>
      <c r="F493" s="333" t="str">
        <f>RIGHT('[1]Prior Year'!C83,4)</f>
        <v>2018</v>
      </c>
      <c r="G493" s="333" t="str">
        <f>RIGHT(C82,4)</f>
        <v>2019</v>
      </c>
      <c r="H493" s="333"/>
      <c r="I493" s="2"/>
      <c r="J493" s="2"/>
      <c r="K493" s="333"/>
      <c r="L493" s="33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2"/>
      <c r="B494" s="329" t="s">
        <v>505</v>
      </c>
      <c r="C494" s="329" t="s">
        <v>505</v>
      </c>
      <c r="D494" s="334" t="s">
        <v>506</v>
      </c>
      <c r="E494" s="334" t="s">
        <v>506</v>
      </c>
      <c r="F494" s="333" t="s">
        <v>507</v>
      </c>
      <c r="G494" s="333" t="s">
        <v>507</v>
      </c>
      <c r="H494" s="333" t="s">
        <v>508</v>
      </c>
      <c r="I494" s="2"/>
      <c r="J494" s="2"/>
      <c r="K494" s="333"/>
      <c r="L494" s="33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9" t="s">
        <v>303</v>
      </c>
      <c r="C495" s="329" t="s">
        <v>303</v>
      </c>
      <c r="D495" s="329" t="s">
        <v>509</v>
      </c>
      <c r="E495" s="329" t="s">
        <v>509</v>
      </c>
      <c r="F495" s="333" t="s">
        <v>510</v>
      </c>
      <c r="G495" s="333" t="s">
        <v>510</v>
      </c>
      <c r="H495" s="333" t="s">
        <v>511</v>
      </c>
      <c r="I495" s="2"/>
      <c r="J495" s="2"/>
      <c r="K495" s="333"/>
      <c r="L495" s="33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5">
        <f>'[1]Prior Year'!C72</f>
        <v>6168621</v>
      </c>
      <c r="C496" s="335">
        <f>C71</f>
        <v>8195784</v>
      </c>
      <c r="D496" s="335">
        <f>'[1]Prior Year'!C59</f>
        <v>5905</v>
      </c>
      <c r="E496" s="2">
        <f>C59</f>
        <v>45514</v>
      </c>
      <c r="F496" s="336">
        <f t="shared" ref="F496:G511" si="15">IF(B496=0,"",IF(D496=0,"",B496/D496))</f>
        <v>1044.6436917866215</v>
      </c>
      <c r="G496" s="336">
        <f t="shared" si="15"/>
        <v>180.07171419782924</v>
      </c>
      <c r="H496" s="337">
        <f>IF(B496=0,"",IF(C496=0,"",IF(D496=0,"",IF(E496=0,"",IF(G496/F496-1&lt;-0.25,G496/F496-1,IF(G496/F496-1&gt;0.25,G496/F496-1,""))))))</f>
        <v>-0.82762379592810431</v>
      </c>
      <c r="I496" s="268"/>
      <c r="J496" s="2"/>
      <c r="K496" s="333"/>
      <c r="L496" s="33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5">
        <f>'[1]Prior Year'!D72</f>
        <v>0</v>
      </c>
      <c r="C497" s="335">
        <f>D71</f>
        <v>0</v>
      </c>
      <c r="D497" s="335">
        <f>'[1]Prior Year'!D59</f>
        <v>0</v>
      </c>
      <c r="E497" s="2">
        <f>D59</f>
        <v>0</v>
      </c>
      <c r="F497" s="336" t="str">
        <f t="shared" si="15"/>
        <v/>
      </c>
      <c r="G497" s="336" t="str">
        <f t="shared" si="15"/>
        <v/>
      </c>
      <c r="H497" s="337" t="str">
        <f t="shared" ref="H497:H550" si="16">IF(B497=0,"",IF(C497=0,"",IF(D497=0,"",IF(E497=0,"",IF(G497/F497-1&lt;-0.25,G497/F497-1,IF(G497/F497-1&gt;0.25,G497/F497-1,""))))))</f>
        <v/>
      </c>
      <c r="I497" s="268"/>
      <c r="J497" s="2"/>
      <c r="K497" s="333"/>
      <c r="L497" s="33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5">
        <f>'[1]Prior Year'!E72</f>
        <v>4686386</v>
      </c>
      <c r="C498" s="335">
        <f>E71</f>
        <v>6301267</v>
      </c>
      <c r="D498" s="335">
        <f>'[1]Prior Year'!E59</f>
        <v>7199</v>
      </c>
      <c r="E498" s="2">
        <f>E59</f>
        <v>9669</v>
      </c>
      <c r="F498" s="336">
        <f t="shared" si="15"/>
        <v>650.97735796638426</v>
      </c>
      <c r="G498" s="336">
        <f t="shared" si="15"/>
        <v>651.6979005067742</v>
      </c>
      <c r="H498" s="337" t="str">
        <f t="shared" si="16"/>
        <v/>
      </c>
      <c r="I498" s="268"/>
      <c r="J498" s="2"/>
      <c r="K498" s="333"/>
      <c r="L498" s="33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5">
        <f>'[1]Prior Year'!F72</f>
        <v>0</v>
      </c>
      <c r="C499" s="335">
        <f>F71</f>
        <v>0</v>
      </c>
      <c r="D499" s="335">
        <f>'[1]Prior Year'!F59</f>
        <v>0</v>
      </c>
      <c r="E499" s="2">
        <f>F59</f>
        <v>0</v>
      </c>
      <c r="F499" s="336" t="str">
        <f t="shared" si="15"/>
        <v/>
      </c>
      <c r="G499" s="336" t="str">
        <f t="shared" si="15"/>
        <v/>
      </c>
      <c r="H499" s="337" t="str">
        <f t="shared" si="16"/>
        <v/>
      </c>
      <c r="I499" s="268"/>
      <c r="J499" s="2"/>
      <c r="K499" s="333"/>
      <c r="L499" s="33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5">
        <f>'[1]Prior Year'!G72</f>
        <v>0</v>
      </c>
      <c r="C500" s="335">
        <f>G71</f>
        <v>0</v>
      </c>
      <c r="D500" s="335">
        <f>'[1]Prior Year'!G59</f>
        <v>0</v>
      </c>
      <c r="E500" s="2">
        <f>G59</f>
        <v>0</v>
      </c>
      <c r="F500" s="336" t="str">
        <f t="shared" si="15"/>
        <v/>
      </c>
      <c r="G500" s="336" t="str">
        <f t="shared" si="15"/>
        <v/>
      </c>
      <c r="H500" s="337" t="str">
        <f t="shared" si="16"/>
        <v/>
      </c>
      <c r="I500" s="268"/>
      <c r="J500" s="2"/>
      <c r="K500" s="333"/>
      <c r="L500" s="33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5">
        <f>'[1]Prior Year'!H72</f>
        <v>0</v>
      </c>
      <c r="C501" s="335">
        <f>H71</f>
        <v>0</v>
      </c>
      <c r="D501" s="335">
        <f>'[1]Prior Year'!H59</f>
        <v>0</v>
      </c>
      <c r="E501" s="2">
        <f>H59</f>
        <v>0</v>
      </c>
      <c r="F501" s="336" t="str">
        <f t="shared" si="15"/>
        <v/>
      </c>
      <c r="G501" s="336" t="str">
        <f t="shared" si="15"/>
        <v/>
      </c>
      <c r="H501" s="337" t="str">
        <f t="shared" si="16"/>
        <v/>
      </c>
      <c r="I501" s="268"/>
      <c r="J501" s="2"/>
      <c r="K501" s="333"/>
      <c r="L501" s="33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5">
        <f>'[1]Prior Year'!I72</f>
        <v>0</v>
      </c>
      <c r="C502" s="335">
        <f>I71</f>
        <v>0</v>
      </c>
      <c r="D502" s="335">
        <f>'[1]Prior Year'!I59</f>
        <v>0</v>
      </c>
      <c r="E502" s="2">
        <f>I59</f>
        <v>0</v>
      </c>
      <c r="F502" s="336" t="str">
        <f t="shared" si="15"/>
        <v/>
      </c>
      <c r="G502" s="336" t="str">
        <f t="shared" si="15"/>
        <v/>
      </c>
      <c r="H502" s="337" t="str">
        <f t="shared" si="16"/>
        <v/>
      </c>
      <c r="I502" s="268"/>
      <c r="J502" s="2"/>
      <c r="K502" s="333"/>
      <c r="L502" s="33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5">
        <f>'[1]Prior Year'!J72</f>
        <v>231325</v>
      </c>
      <c r="C503" s="335">
        <f>J71</f>
        <v>654405</v>
      </c>
      <c r="D503" s="335">
        <f>'[1]Prior Year'!J59</f>
        <v>1030</v>
      </c>
      <c r="E503" s="2">
        <f>J59</f>
        <v>1113</v>
      </c>
      <c r="F503" s="336">
        <f t="shared" si="15"/>
        <v>224.58737864077671</v>
      </c>
      <c r="G503" s="336">
        <f t="shared" si="15"/>
        <v>587.96495956873321</v>
      </c>
      <c r="H503" s="337">
        <f t="shared" si="16"/>
        <v>1.6179786376560905</v>
      </c>
      <c r="I503" s="268"/>
      <c r="J503" s="2"/>
      <c r="K503" s="333"/>
      <c r="L503" s="33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5">
        <f>'[1]Prior Year'!K72</f>
        <v>0</v>
      </c>
      <c r="C504" s="335">
        <f>K71</f>
        <v>0</v>
      </c>
      <c r="D504" s="335">
        <f>'[1]Prior Year'!K59</f>
        <v>0</v>
      </c>
      <c r="E504" s="2">
        <f>K59</f>
        <v>0</v>
      </c>
      <c r="F504" s="336" t="str">
        <f t="shared" si="15"/>
        <v/>
      </c>
      <c r="G504" s="336" t="str">
        <f t="shared" si="15"/>
        <v/>
      </c>
      <c r="H504" s="337" t="str">
        <f t="shared" si="16"/>
        <v/>
      </c>
      <c r="I504" s="268"/>
      <c r="J504" s="2"/>
      <c r="K504" s="333"/>
      <c r="L504" s="33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5">
        <f>'[1]Prior Year'!L72</f>
        <v>0</v>
      </c>
      <c r="C505" s="335">
        <f>L71</f>
        <v>0</v>
      </c>
      <c r="D505" s="335">
        <f>'[1]Prior Year'!L59</f>
        <v>0</v>
      </c>
      <c r="E505" s="2">
        <f>L59</f>
        <v>0</v>
      </c>
      <c r="F505" s="336" t="str">
        <f t="shared" si="15"/>
        <v/>
      </c>
      <c r="G505" s="336" t="str">
        <f t="shared" si="15"/>
        <v/>
      </c>
      <c r="H505" s="337" t="str">
        <f t="shared" si="16"/>
        <v/>
      </c>
      <c r="I505" s="268"/>
      <c r="J505" s="2"/>
      <c r="K505" s="333"/>
      <c r="L505" s="33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5">
        <f>'[1]Prior Year'!M72</f>
        <v>0</v>
      </c>
      <c r="C506" s="335">
        <f>M71</f>
        <v>0</v>
      </c>
      <c r="D506" s="335">
        <f>'[1]Prior Year'!M59</f>
        <v>0</v>
      </c>
      <c r="E506" s="2">
        <f>M59</f>
        <v>0</v>
      </c>
      <c r="F506" s="336" t="str">
        <f t="shared" si="15"/>
        <v/>
      </c>
      <c r="G506" s="336" t="str">
        <f t="shared" si="15"/>
        <v/>
      </c>
      <c r="H506" s="337" t="str">
        <f t="shared" si="16"/>
        <v/>
      </c>
      <c r="I506" s="268"/>
      <c r="J506" s="2"/>
      <c r="K506" s="333"/>
      <c r="L506" s="33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5">
        <f>'[1]Prior Year'!N72</f>
        <v>0</v>
      </c>
      <c r="C507" s="335">
        <f>N71</f>
        <v>0</v>
      </c>
      <c r="D507" s="335">
        <f>'[1]Prior Year'!N59</f>
        <v>0</v>
      </c>
      <c r="E507" s="2">
        <f>N59</f>
        <v>0</v>
      </c>
      <c r="F507" s="336" t="str">
        <f t="shared" si="15"/>
        <v/>
      </c>
      <c r="G507" s="336" t="str">
        <f t="shared" si="15"/>
        <v/>
      </c>
      <c r="H507" s="337" t="str">
        <f t="shared" si="16"/>
        <v/>
      </c>
      <c r="I507" s="268"/>
      <c r="J507" s="2"/>
      <c r="K507" s="333"/>
      <c r="L507" s="33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5">
        <f>'[1]Prior Year'!O72</f>
        <v>4123409</v>
      </c>
      <c r="C508" s="335">
        <f>O71</f>
        <v>4048688</v>
      </c>
      <c r="D508" s="335">
        <f>'[1]Prior Year'!O59</f>
        <v>1291</v>
      </c>
      <c r="E508" s="2">
        <f>O59</f>
        <v>1398</v>
      </c>
      <c r="F508" s="336">
        <f t="shared" si="15"/>
        <v>3193.9651432997675</v>
      </c>
      <c r="G508" s="336">
        <f t="shared" si="15"/>
        <v>2896.0572246065808</v>
      </c>
      <c r="H508" s="337" t="str">
        <f t="shared" si="16"/>
        <v/>
      </c>
      <c r="I508" s="268"/>
      <c r="J508" s="2"/>
      <c r="K508" s="333"/>
      <c r="L508" s="33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5">
        <f>'[1]Prior Year'!P72</f>
        <v>5809304</v>
      </c>
      <c r="C509" s="335">
        <f>P71</f>
        <v>5740882</v>
      </c>
      <c r="D509" s="335">
        <f>'[1]Prior Year'!P59</f>
        <v>470107</v>
      </c>
      <c r="E509" s="2">
        <f>P59</f>
        <v>463375</v>
      </c>
      <c r="F509" s="336">
        <f t="shared" si="15"/>
        <v>12.357407994350222</v>
      </c>
      <c r="G509" s="336">
        <f t="shared" si="15"/>
        <v>12.389278661990828</v>
      </c>
      <c r="H509" s="337" t="str">
        <f t="shared" si="16"/>
        <v/>
      </c>
      <c r="I509" s="268"/>
      <c r="J509" s="2"/>
      <c r="K509" s="333"/>
      <c r="L509" s="33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5">
        <f>'[1]Prior Year'!Q72</f>
        <v>1002863</v>
      </c>
      <c r="C510" s="335">
        <f>Q71</f>
        <v>1248170</v>
      </c>
      <c r="D510" s="335">
        <f>'[1]Prior Year'!Q59</f>
        <v>320922</v>
      </c>
      <c r="E510" s="2">
        <f>Q59</f>
        <v>350167</v>
      </c>
      <c r="F510" s="336">
        <f t="shared" si="15"/>
        <v>3.1249431325991988</v>
      </c>
      <c r="G510" s="336">
        <f t="shared" si="15"/>
        <v>3.5644992246556644</v>
      </c>
      <c r="H510" s="337" t="str">
        <f t="shared" si="16"/>
        <v/>
      </c>
      <c r="I510" s="268"/>
      <c r="J510" s="2"/>
      <c r="K510" s="333"/>
      <c r="L510" s="33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5">
        <f>'[1]Prior Year'!R72</f>
        <v>904672</v>
      </c>
      <c r="C511" s="335">
        <f>R71</f>
        <v>1576473</v>
      </c>
      <c r="D511" s="335">
        <f>'[1]Prior Year'!R59</f>
        <v>491281</v>
      </c>
      <c r="E511" s="2">
        <f>R59</f>
        <v>522284</v>
      </c>
      <c r="F511" s="336">
        <f t="shared" si="15"/>
        <v>1.841455297477411</v>
      </c>
      <c r="G511" s="336">
        <f t="shared" si="15"/>
        <v>3.0184210123227975</v>
      </c>
      <c r="H511" s="337">
        <f t="shared" si="16"/>
        <v>0.63914976185286632</v>
      </c>
      <c r="I511" s="268"/>
      <c r="J511" s="2"/>
      <c r="K511" s="333"/>
      <c r="L511" s="33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5">
        <f>'[1]Prior Year'!S72</f>
        <v>1159834</v>
      </c>
      <c r="C512" s="335">
        <f>S71</f>
        <v>1381958</v>
      </c>
      <c r="D512" s="329" t="s">
        <v>529</v>
      </c>
      <c r="E512" s="329" t="s">
        <v>529</v>
      </c>
      <c r="F512" s="336" t="str">
        <f t="shared" ref="F512:G527" si="17">IF(B512=0,"",IF(D512=0,"",B512/D512))</f>
        <v/>
      </c>
      <c r="G512" s="336" t="str">
        <f t="shared" si="17"/>
        <v/>
      </c>
      <c r="H512" s="337" t="str">
        <f t="shared" si="16"/>
        <v/>
      </c>
      <c r="I512" s="268"/>
      <c r="J512" s="2"/>
      <c r="K512" s="333"/>
      <c r="L512" s="33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5">
        <f>'[1]Prior Year'!T72</f>
        <v>193031</v>
      </c>
      <c r="C513" s="335">
        <f>T71</f>
        <v>0</v>
      </c>
      <c r="D513" s="329" t="s">
        <v>529</v>
      </c>
      <c r="E513" s="329" t="s">
        <v>529</v>
      </c>
      <c r="F513" s="336" t="str">
        <f t="shared" si="17"/>
        <v/>
      </c>
      <c r="G513" s="336" t="str">
        <f t="shared" si="17"/>
        <v/>
      </c>
      <c r="H513" s="337" t="str">
        <f t="shared" si="16"/>
        <v/>
      </c>
      <c r="I513" s="268"/>
      <c r="J513" s="2"/>
      <c r="K513" s="333"/>
      <c r="L513" s="33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5">
        <f>'[1]Prior Year'!U72</f>
        <v>3300570</v>
      </c>
      <c r="C514" s="335">
        <f>U71</f>
        <v>3876615</v>
      </c>
      <c r="D514" s="335">
        <f>'[1]Prior Year'!U59</f>
        <v>240842</v>
      </c>
      <c r="E514" s="2">
        <f>U59</f>
        <v>265612</v>
      </c>
      <c r="F514" s="336">
        <f t="shared" si="17"/>
        <v>13.704295762367028</v>
      </c>
      <c r="G514" s="336">
        <f t="shared" si="17"/>
        <v>14.595029592036504</v>
      </c>
      <c r="H514" s="337" t="str">
        <f t="shared" si="16"/>
        <v/>
      </c>
      <c r="I514" s="268"/>
      <c r="J514" s="2"/>
      <c r="K514" s="333"/>
      <c r="L514" s="33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5">
        <f>'[1]Prior Year'!V72</f>
        <v>0</v>
      </c>
      <c r="C515" s="335">
        <f>V71</f>
        <v>0</v>
      </c>
      <c r="D515" s="335">
        <f>'[1]Prior Year'!V59</f>
        <v>0</v>
      </c>
      <c r="E515" s="2">
        <f>V59</f>
        <v>0</v>
      </c>
      <c r="F515" s="336" t="str">
        <f t="shared" si="17"/>
        <v/>
      </c>
      <c r="G515" s="336" t="str">
        <f t="shared" si="17"/>
        <v/>
      </c>
      <c r="H515" s="337" t="str">
        <f t="shared" si="16"/>
        <v/>
      </c>
      <c r="I515" s="268"/>
      <c r="J515" s="2"/>
      <c r="K515" s="333"/>
      <c r="L515" s="33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5">
        <f>'[1]Prior Year'!W72</f>
        <v>338764</v>
      </c>
      <c r="C516" s="335">
        <f>W71</f>
        <v>330679</v>
      </c>
      <c r="D516" s="335">
        <f>'[1]Prior Year'!W59</f>
        <v>860</v>
      </c>
      <c r="E516" s="2">
        <f>W59</f>
        <v>865</v>
      </c>
      <c r="F516" s="336">
        <f t="shared" si="17"/>
        <v>393.91162790697672</v>
      </c>
      <c r="G516" s="336">
        <f t="shared" si="17"/>
        <v>382.28786127167632</v>
      </c>
      <c r="H516" s="337" t="str">
        <f t="shared" si="16"/>
        <v/>
      </c>
      <c r="I516" s="268"/>
      <c r="J516" s="2"/>
      <c r="K516" s="333"/>
      <c r="L516" s="33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5">
        <f>'[1]Prior Year'!X72</f>
        <v>1844387</v>
      </c>
      <c r="C517" s="335">
        <f>X71</f>
        <v>2225969</v>
      </c>
      <c r="D517" s="335">
        <f>'[1]Prior Year'!X59</f>
        <v>17518</v>
      </c>
      <c r="E517" s="2">
        <f>X59</f>
        <v>18792</v>
      </c>
      <c r="F517" s="336">
        <f t="shared" si="17"/>
        <v>105.28524945770064</v>
      </c>
      <c r="G517" s="336">
        <f t="shared" si="17"/>
        <v>118.45301191996595</v>
      </c>
      <c r="H517" s="337" t="str">
        <f t="shared" si="16"/>
        <v/>
      </c>
      <c r="I517" s="268"/>
      <c r="J517" s="2"/>
      <c r="K517" s="333"/>
      <c r="L517" s="33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5">
        <f>'[1]Prior Year'!Y72</f>
        <v>4748648</v>
      </c>
      <c r="C518" s="335">
        <f>Y71</f>
        <v>4995961</v>
      </c>
      <c r="D518" s="335">
        <f>'[1]Prior Year'!Y59</f>
        <v>29164</v>
      </c>
      <c r="E518" s="2">
        <f>Y59</f>
        <v>30604</v>
      </c>
      <c r="F518" s="336">
        <f t="shared" si="17"/>
        <v>162.82567549033055</v>
      </c>
      <c r="G518" s="336">
        <f t="shared" si="17"/>
        <v>163.24536008364919</v>
      </c>
      <c r="H518" s="337" t="str">
        <f t="shared" si="16"/>
        <v/>
      </c>
      <c r="I518" s="268"/>
      <c r="J518" s="2"/>
      <c r="K518" s="333"/>
      <c r="L518" s="33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5">
        <f>'[1]Prior Year'!Z72</f>
        <v>1649625</v>
      </c>
      <c r="C519" s="335">
        <f>Z71</f>
        <v>1623647</v>
      </c>
      <c r="D519" s="335">
        <f>'[1]Prior Year'!Z59</f>
        <v>12993</v>
      </c>
      <c r="E519" s="2">
        <f>Z59</f>
        <v>14150</v>
      </c>
      <c r="F519" s="336">
        <f t="shared" si="17"/>
        <v>126.9625952435927</v>
      </c>
      <c r="G519" s="336">
        <f t="shared" si="17"/>
        <v>114.74537102473498</v>
      </c>
      <c r="H519" s="337" t="str">
        <f t="shared" si="16"/>
        <v/>
      </c>
      <c r="I519" s="268"/>
      <c r="J519" s="2"/>
      <c r="K519" s="333"/>
      <c r="L519" s="33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5">
        <f>'[1]Prior Year'!AA72</f>
        <v>240387</v>
      </c>
      <c r="C520" s="335">
        <f>AA71</f>
        <v>279321</v>
      </c>
      <c r="D520" s="335">
        <f>'[1]Prior Year'!AA59</f>
        <v>2204</v>
      </c>
      <c r="E520" s="2">
        <f>AA59</f>
        <v>1929</v>
      </c>
      <c r="F520" s="336">
        <f t="shared" si="17"/>
        <v>109.06851179673322</v>
      </c>
      <c r="G520" s="336">
        <f t="shared" si="17"/>
        <v>144.80093312597199</v>
      </c>
      <c r="H520" s="337">
        <f t="shared" si="16"/>
        <v>0.32761445756069274</v>
      </c>
      <c r="I520" s="268"/>
      <c r="J520" s="2"/>
      <c r="K520" s="333"/>
      <c r="L520" s="33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5">
        <f>'[1]Prior Year'!AB72</f>
        <v>3954929</v>
      </c>
      <c r="C521" s="335">
        <f>AB71</f>
        <v>4618423</v>
      </c>
      <c r="D521" s="329" t="s">
        <v>529</v>
      </c>
      <c r="E521" s="329" t="s">
        <v>529</v>
      </c>
      <c r="F521" s="336" t="str">
        <f t="shared" si="17"/>
        <v/>
      </c>
      <c r="G521" s="336" t="str">
        <f t="shared" si="17"/>
        <v/>
      </c>
      <c r="H521" s="337" t="str">
        <f t="shared" si="16"/>
        <v/>
      </c>
      <c r="I521" s="268"/>
      <c r="J521" s="2"/>
      <c r="K521" s="333"/>
      <c r="L521" s="33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5">
        <f>'[1]Prior Year'!AC72</f>
        <v>1178991.1600000001</v>
      </c>
      <c r="C522" s="335">
        <f>AC71</f>
        <v>1496255</v>
      </c>
      <c r="D522" s="335">
        <f>'[1]Prior Year'!AC59</f>
        <v>15183</v>
      </c>
      <c r="E522" s="2">
        <f>AC59</f>
        <v>19655</v>
      </c>
      <c r="F522" s="336">
        <f t="shared" si="17"/>
        <v>77.65205558848713</v>
      </c>
      <c r="G522" s="336">
        <f t="shared" si="17"/>
        <v>76.125922157211903</v>
      </c>
      <c r="H522" s="337" t="str">
        <f t="shared" si="16"/>
        <v/>
      </c>
      <c r="I522" s="268"/>
      <c r="J522" s="2"/>
      <c r="K522" s="333"/>
      <c r="L522" s="33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5">
        <f>'[1]Prior Year'!AD72</f>
        <v>0</v>
      </c>
      <c r="C523" s="335">
        <f>AD71</f>
        <v>0</v>
      </c>
      <c r="D523" s="335">
        <f>'[1]Prior Year'!AD59</f>
        <v>0</v>
      </c>
      <c r="E523" s="2">
        <f>AD59</f>
        <v>0</v>
      </c>
      <c r="F523" s="336" t="str">
        <f t="shared" si="17"/>
        <v/>
      </c>
      <c r="G523" s="336" t="str">
        <f t="shared" si="17"/>
        <v/>
      </c>
      <c r="H523" s="337" t="str">
        <f t="shared" si="16"/>
        <v/>
      </c>
      <c r="I523" s="268"/>
      <c r="J523" s="2"/>
      <c r="K523" s="333"/>
      <c r="L523" s="33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5">
        <f>'[1]Prior Year'!AE72</f>
        <v>1018394</v>
      </c>
      <c r="C524" s="335">
        <f>AE71</f>
        <v>1218576</v>
      </c>
      <c r="D524" s="335">
        <f>'[1]Prior Year'!AE59</f>
        <v>26876</v>
      </c>
      <c r="E524" s="2">
        <f>AE59</f>
        <v>32251</v>
      </c>
      <c r="F524" s="336">
        <f t="shared" si="17"/>
        <v>37.89232028575681</v>
      </c>
      <c r="G524" s="336">
        <f t="shared" si="17"/>
        <v>37.784130724628696</v>
      </c>
      <c r="H524" s="337" t="str">
        <f t="shared" si="16"/>
        <v/>
      </c>
      <c r="I524" s="268"/>
      <c r="J524" s="2"/>
      <c r="K524" s="333"/>
      <c r="L524" s="33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5">
        <f>'[1]Prior Year'!AF72</f>
        <v>0</v>
      </c>
      <c r="C525" s="335">
        <f>AF71</f>
        <v>0</v>
      </c>
      <c r="D525" s="335">
        <f>'[1]Prior Year'!AF59</f>
        <v>0</v>
      </c>
      <c r="E525" s="2">
        <f>AF59</f>
        <v>0</v>
      </c>
      <c r="F525" s="336" t="str">
        <f t="shared" si="17"/>
        <v/>
      </c>
      <c r="G525" s="336" t="str">
        <f t="shared" si="17"/>
        <v/>
      </c>
      <c r="H525" s="337" t="str">
        <f t="shared" si="16"/>
        <v/>
      </c>
      <c r="I525" s="268"/>
      <c r="J525" s="2"/>
      <c r="K525" s="333"/>
      <c r="L525" s="33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5">
        <f>'[1]Prior Year'!AG72</f>
        <v>3258609</v>
      </c>
      <c r="C526" s="335">
        <f>AG71</f>
        <v>3854125</v>
      </c>
      <c r="D526" s="335">
        <f>'[1]Prior Year'!AG59</f>
        <v>19802</v>
      </c>
      <c r="E526" s="2">
        <f>AG59</f>
        <v>20552</v>
      </c>
      <c r="F526" s="336">
        <f t="shared" si="17"/>
        <v>164.55958994041006</v>
      </c>
      <c r="G526" s="336">
        <f t="shared" si="17"/>
        <v>187.53041066562864</v>
      </c>
      <c r="H526" s="337" t="str">
        <f t="shared" si="16"/>
        <v/>
      </c>
      <c r="I526" s="268"/>
      <c r="J526" s="2"/>
      <c r="K526" s="333"/>
      <c r="L526" s="33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5">
        <f>'[1]Prior Year'!AH72</f>
        <v>0</v>
      </c>
      <c r="C527" s="335">
        <f>AH71</f>
        <v>0</v>
      </c>
      <c r="D527" s="335">
        <f>'[1]Prior Year'!AH59</f>
        <v>0</v>
      </c>
      <c r="E527" s="2">
        <f>AH59</f>
        <v>0</v>
      </c>
      <c r="F527" s="336" t="str">
        <f t="shared" si="17"/>
        <v/>
      </c>
      <c r="G527" s="336" t="str">
        <f t="shared" si="17"/>
        <v/>
      </c>
      <c r="H527" s="337" t="str">
        <f t="shared" si="16"/>
        <v/>
      </c>
      <c r="I527" s="268"/>
      <c r="J527" s="2"/>
      <c r="K527" s="333"/>
      <c r="L527" s="33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5">
        <f>'[1]Prior Year'!AI72</f>
        <v>2334228</v>
      </c>
      <c r="C528" s="335">
        <f>AI71</f>
        <v>2678173</v>
      </c>
      <c r="D528" s="335">
        <f>'[1]Prior Year'!AI59</f>
        <v>7642</v>
      </c>
      <c r="E528" s="2">
        <f>AI59</f>
        <v>10016</v>
      </c>
      <c r="F528" s="336">
        <f t="shared" ref="F528:G540" si="18">IF(B528=0,"",IF(D528=0,"",B528/D528))</f>
        <v>305.44726511384454</v>
      </c>
      <c r="G528" s="336">
        <f t="shared" si="18"/>
        <v>267.38947683706073</v>
      </c>
      <c r="H528" s="337" t="str">
        <f t="shared" si="16"/>
        <v/>
      </c>
      <c r="I528" s="268"/>
      <c r="J528" s="2"/>
      <c r="K528" s="333"/>
      <c r="L528" s="33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5">
        <f>'[1]Prior Year'!AJ72</f>
        <v>0</v>
      </c>
      <c r="C529" s="335">
        <f>AJ71</f>
        <v>0</v>
      </c>
      <c r="D529" s="335">
        <f>'[1]Prior Year'!AJ59</f>
        <v>0</v>
      </c>
      <c r="E529" s="2">
        <f>AJ59</f>
        <v>0</v>
      </c>
      <c r="F529" s="336" t="str">
        <f t="shared" si="18"/>
        <v/>
      </c>
      <c r="G529" s="336" t="str">
        <f t="shared" si="18"/>
        <v/>
      </c>
      <c r="H529" s="337" t="str">
        <f t="shared" si="16"/>
        <v/>
      </c>
      <c r="I529" s="268"/>
      <c r="J529" s="2"/>
      <c r="K529" s="333"/>
      <c r="L529" s="33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5">
        <f>'[1]Prior Year'!AK72</f>
        <v>119740</v>
      </c>
      <c r="C530" s="335">
        <f>AK71</f>
        <v>112524</v>
      </c>
      <c r="D530" s="335">
        <f>'[1]Prior Year'!AK59</f>
        <v>5292</v>
      </c>
      <c r="E530" s="2">
        <f>AK59</f>
        <v>4806</v>
      </c>
      <c r="F530" s="336">
        <f t="shared" si="18"/>
        <v>22.626606198034768</v>
      </c>
      <c r="G530" s="336">
        <f t="shared" si="18"/>
        <v>23.413233458177277</v>
      </c>
      <c r="H530" s="337" t="str">
        <f t="shared" si="16"/>
        <v/>
      </c>
      <c r="I530" s="268"/>
      <c r="J530" s="2"/>
      <c r="K530" s="333"/>
      <c r="L530" s="33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5">
        <f>'[1]Prior Year'!AL72</f>
        <v>64554</v>
      </c>
      <c r="C531" s="335">
        <f>AL71</f>
        <v>61845</v>
      </c>
      <c r="D531" s="335">
        <f>'[1]Prior Year'!AL59</f>
        <v>998</v>
      </c>
      <c r="E531" s="2">
        <f>AL59</f>
        <v>876</v>
      </c>
      <c r="F531" s="336">
        <f t="shared" si="18"/>
        <v>64.68336673346694</v>
      </c>
      <c r="G531" s="336">
        <f t="shared" si="18"/>
        <v>70.599315068493155</v>
      </c>
      <c r="H531" s="337" t="str">
        <f t="shared" si="16"/>
        <v/>
      </c>
      <c r="I531" s="268"/>
      <c r="J531" s="2"/>
      <c r="K531" s="333"/>
      <c r="L531" s="33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5">
        <f>'[1]Prior Year'!AM72</f>
        <v>0</v>
      </c>
      <c r="C532" s="335">
        <f>AM71</f>
        <v>0</v>
      </c>
      <c r="D532" s="335">
        <f>'[1]Prior Year'!AM59</f>
        <v>0</v>
      </c>
      <c r="E532" s="2">
        <f>AM59</f>
        <v>0</v>
      </c>
      <c r="F532" s="336" t="str">
        <f t="shared" si="18"/>
        <v/>
      </c>
      <c r="G532" s="336" t="str">
        <f t="shared" si="18"/>
        <v/>
      </c>
      <c r="H532" s="337" t="str">
        <f t="shared" si="16"/>
        <v/>
      </c>
      <c r="I532" s="268"/>
      <c r="J532" s="2"/>
      <c r="K532" s="333"/>
      <c r="L532" s="33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5">
        <f>'[1]Prior Year'!AN72</f>
        <v>0</v>
      </c>
      <c r="C533" s="335">
        <f>AN71</f>
        <v>0</v>
      </c>
      <c r="D533" s="335">
        <f>'[1]Prior Year'!AN59</f>
        <v>0</v>
      </c>
      <c r="E533" s="2">
        <f>AN59</f>
        <v>0</v>
      </c>
      <c r="F533" s="336" t="str">
        <f t="shared" si="18"/>
        <v/>
      </c>
      <c r="G533" s="336" t="str">
        <f t="shared" si="18"/>
        <v/>
      </c>
      <c r="H533" s="337" t="str">
        <f t="shared" si="16"/>
        <v/>
      </c>
      <c r="I533" s="268"/>
      <c r="J533" s="2"/>
      <c r="K533" s="333"/>
      <c r="L533" s="33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5">
        <f>'[1]Prior Year'!AO72</f>
        <v>0</v>
      </c>
      <c r="C534" s="335">
        <f>AO71</f>
        <v>0</v>
      </c>
      <c r="D534" s="335">
        <f>'[1]Prior Year'!AO59</f>
        <v>0</v>
      </c>
      <c r="E534" s="2">
        <f>AO59</f>
        <v>0</v>
      </c>
      <c r="F534" s="336" t="str">
        <f t="shared" si="18"/>
        <v/>
      </c>
      <c r="G534" s="336" t="str">
        <f t="shared" si="18"/>
        <v/>
      </c>
      <c r="H534" s="337" t="str">
        <f t="shared" si="16"/>
        <v/>
      </c>
      <c r="I534" s="268"/>
      <c r="J534" s="2"/>
      <c r="K534" s="333"/>
      <c r="L534" s="33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5">
        <f>'[1]Prior Year'!AP72</f>
        <v>0</v>
      </c>
      <c r="C535" s="335">
        <f>AP71</f>
        <v>0</v>
      </c>
      <c r="D535" s="335">
        <f>'[1]Prior Year'!AP59</f>
        <v>0</v>
      </c>
      <c r="E535" s="2">
        <f>AP59</f>
        <v>0</v>
      </c>
      <c r="F535" s="336" t="str">
        <f t="shared" si="18"/>
        <v/>
      </c>
      <c r="G535" s="336" t="str">
        <f t="shared" si="18"/>
        <v/>
      </c>
      <c r="H535" s="337" t="str">
        <f t="shared" si="16"/>
        <v/>
      </c>
      <c r="I535" s="268"/>
      <c r="J535" s="2"/>
      <c r="K535" s="333"/>
      <c r="L535" s="33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5">
        <f>'[1]Prior Year'!AQ72</f>
        <v>0</v>
      </c>
      <c r="C536" s="335">
        <f>AQ71</f>
        <v>0</v>
      </c>
      <c r="D536" s="335">
        <f>'[1]Prior Year'!AQ59</f>
        <v>0</v>
      </c>
      <c r="E536" s="2">
        <f>AQ59</f>
        <v>0</v>
      </c>
      <c r="F536" s="336" t="str">
        <f t="shared" si="18"/>
        <v/>
      </c>
      <c r="G536" s="336" t="str">
        <f t="shared" si="18"/>
        <v/>
      </c>
      <c r="H536" s="337" t="str">
        <f t="shared" si="16"/>
        <v/>
      </c>
      <c r="I536" s="268"/>
      <c r="J536" s="2"/>
      <c r="K536" s="333"/>
      <c r="L536" s="33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5">
        <f>'[1]Prior Year'!AR72</f>
        <v>0</v>
      </c>
      <c r="C537" s="335">
        <f>AR71</f>
        <v>0</v>
      </c>
      <c r="D537" s="335">
        <f>'[1]Prior Year'!AR59</f>
        <v>0</v>
      </c>
      <c r="E537" s="2">
        <f>AR59</f>
        <v>0</v>
      </c>
      <c r="F537" s="336" t="str">
        <f t="shared" si="18"/>
        <v/>
      </c>
      <c r="G537" s="336" t="str">
        <f t="shared" si="18"/>
        <v/>
      </c>
      <c r="H537" s="337" t="str">
        <f t="shared" si="16"/>
        <v/>
      </c>
      <c r="I537" s="268"/>
      <c r="J537" s="2"/>
      <c r="K537" s="333"/>
      <c r="L537" s="33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5">
        <f>'[1]Prior Year'!AS72</f>
        <v>0</v>
      </c>
      <c r="C538" s="335">
        <f>AS71</f>
        <v>0</v>
      </c>
      <c r="D538" s="335">
        <f>'[1]Prior Year'!AS59</f>
        <v>0</v>
      </c>
      <c r="E538" s="2">
        <f>AS59</f>
        <v>0</v>
      </c>
      <c r="F538" s="336" t="str">
        <f t="shared" si="18"/>
        <v/>
      </c>
      <c r="G538" s="336" t="str">
        <f t="shared" si="18"/>
        <v/>
      </c>
      <c r="H538" s="337" t="str">
        <f t="shared" si="16"/>
        <v/>
      </c>
      <c r="I538" s="268"/>
      <c r="J538" s="2"/>
      <c r="K538" s="333"/>
      <c r="L538" s="33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5">
        <f>'[1]Prior Year'!AT72</f>
        <v>0</v>
      </c>
      <c r="C539" s="335">
        <f>AT71</f>
        <v>0</v>
      </c>
      <c r="D539" s="335">
        <f>'[1]Prior Year'!AT59</f>
        <v>0</v>
      </c>
      <c r="E539" s="2">
        <f>AT59</f>
        <v>0</v>
      </c>
      <c r="F539" s="336" t="str">
        <f t="shared" si="18"/>
        <v/>
      </c>
      <c r="G539" s="336" t="str">
        <f t="shared" si="18"/>
        <v/>
      </c>
      <c r="H539" s="337" t="str">
        <f t="shared" si="16"/>
        <v/>
      </c>
      <c r="I539" s="268"/>
      <c r="J539" s="2"/>
      <c r="K539" s="333"/>
      <c r="L539" s="33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5">
        <f>'[1]Prior Year'!AU72</f>
        <v>0</v>
      </c>
      <c r="C540" s="335">
        <f>AU71</f>
        <v>0</v>
      </c>
      <c r="D540" s="335">
        <f>'[1]Prior Year'!AU59</f>
        <v>0</v>
      </c>
      <c r="E540" s="2">
        <f>AU59</f>
        <v>0</v>
      </c>
      <c r="F540" s="336" t="str">
        <f t="shared" si="18"/>
        <v/>
      </c>
      <c r="G540" s="336" t="str">
        <f t="shared" si="18"/>
        <v/>
      </c>
      <c r="H540" s="337" t="str">
        <f t="shared" si="16"/>
        <v/>
      </c>
      <c r="I540" s="268"/>
      <c r="J540" s="2"/>
      <c r="K540" s="333"/>
      <c r="L540" s="33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5">
        <f>'[1]Prior Year'!AV72</f>
        <v>805396</v>
      </c>
      <c r="C541" s="335">
        <f>AV71</f>
        <v>2831275</v>
      </c>
      <c r="D541" s="329" t="s">
        <v>529</v>
      </c>
      <c r="E541" s="329" t="s">
        <v>529</v>
      </c>
      <c r="F541" s="336"/>
      <c r="G541" s="336"/>
      <c r="H541" s="337"/>
      <c r="I541" s="268"/>
      <c r="J541" s="2"/>
      <c r="K541" s="333"/>
      <c r="L541" s="33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5">
        <f>'[1]Prior Year'!AW72</f>
        <v>0</v>
      </c>
      <c r="C542" s="335">
        <f>AW71</f>
        <v>0</v>
      </c>
      <c r="D542" s="329" t="s">
        <v>529</v>
      </c>
      <c r="E542" s="329" t="s">
        <v>529</v>
      </c>
      <c r="F542" s="336"/>
      <c r="G542" s="336"/>
      <c r="H542" s="337"/>
      <c r="I542" s="268"/>
      <c r="J542" s="2"/>
      <c r="K542" s="333"/>
      <c r="L542" s="33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5">
        <f>'[1]Prior Year'!AX72</f>
        <v>0</v>
      </c>
      <c r="C543" s="335">
        <f>AX71</f>
        <v>0</v>
      </c>
      <c r="D543" s="329" t="s">
        <v>529</v>
      </c>
      <c r="E543" s="329" t="s">
        <v>529</v>
      </c>
      <c r="F543" s="336"/>
      <c r="G543" s="336"/>
      <c r="H543" s="337"/>
      <c r="I543" s="268"/>
      <c r="J543" s="2"/>
      <c r="K543" s="333"/>
      <c r="L543" s="33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5">
        <f>'[1]Prior Year'!AY72</f>
        <v>1828446</v>
      </c>
      <c r="C544" s="335">
        <f>AY71</f>
        <v>2041623</v>
      </c>
      <c r="D544" s="335">
        <f>'[1]Prior Year'!AY59</f>
        <v>178174</v>
      </c>
      <c r="E544" s="2">
        <f>AY59</f>
        <v>56623</v>
      </c>
      <c r="F544" s="336">
        <f t="shared" ref="F544:G550" si="19">IF(B544=0,"",IF(D544=0,"",B544/D544))</f>
        <v>10.262137012134206</v>
      </c>
      <c r="G544" s="336">
        <f t="shared" si="19"/>
        <v>36.056425834025042</v>
      </c>
      <c r="H544" s="337">
        <f t="shared" si="16"/>
        <v>2.5135397034156752</v>
      </c>
      <c r="I544" s="268"/>
      <c r="J544" s="2"/>
      <c r="K544" s="333"/>
      <c r="L544" s="33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5">
        <f>'[1]Prior Year'!AZ72</f>
        <v>0</v>
      </c>
      <c r="C545" s="335">
        <f>AZ71</f>
        <v>0</v>
      </c>
      <c r="D545" s="335">
        <f>'[1]Prior Year'!AZ59</f>
        <v>0</v>
      </c>
      <c r="E545" s="2">
        <f>AZ59</f>
        <v>0</v>
      </c>
      <c r="F545" s="336" t="str">
        <f t="shared" si="19"/>
        <v/>
      </c>
      <c r="G545" s="336" t="str">
        <f t="shared" si="19"/>
        <v/>
      </c>
      <c r="H545" s="337" t="str">
        <f t="shared" si="16"/>
        <v/>
      </c>
      <c r="I545" s="268"/>
      <c r="J545" s="2"/>
      <c r="K545" s="333"/>
      <c r="L545" s="33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5">
        <f>'[1]Prior Year'!BA72</f>
        <v>0</v>
      </c>
      <c r="C546" s="335">
        <f>BA71</f>
        <v>0</v>
      </c>
      <c r="D546" s="335">
        <f>'[1]Prior Year'!BA59</f>
        <v>0</v>
      </c>
      <c r="E546" s="2">
        <f>BA59</f>
        <v>0</v>
      </c>
      <c r="F546" s="336" t="str">
        <f t="shared" si="19"/>
        <v/>
      </c>
      <c r="G546" s="336" t="str">
        <f t="shared" si="19"/>
        <v/>
      </c>
      <c r="H546" s="337" t="str">
        <f t="shared" si="16"/>
        <v/>
      </c>
      <c r="I546" s="268"/>
      <c r="J546" s="2"/>
      <c r="K546" s="333"/>
      <c r="L546" s="33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5">
        <f>'[1]Prior Year'!BB72</f>
        <v>1097153</v>
      </c>
      <c r="C547" s="335">
        <f>BB71</f>
        <v>1078117</v>
      </c>
      <c r="D547" s="329" t="s">
        <v>529</v>
      </c>
      <c r="E547" s="329" t="s">
        <v>529</v>
      </c>
      <c r="F547" s="336"/>
      <c r="G547" s="336"/>
      <c r="H547" s="337"/>
      <c r="I547" s="268"/>
      <c r="J547" s="2"/>
      <c r="K547" s="333"/>
      <c r="L547" s="33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5">
        <f>'[1]Prior Year'!BC72</f>
        <v>0</v>
      </c>
      <c r="C548" s="335">
        <f>BC71</f>
        <v>0</v>
      </c>
      <c r="D548" s="329" t="s">
        <v>529</v>
      </c>
      <c r="E548" s="329" t="s">
        <v>529</v>
      </c>
      <c r="F548" s="336"/>
      <c r="G548" s="336"/>
      <c r="H548" s="337"/>
      <c r="I548" s="268"/>
      <c r="J548" s="2"/>
      <c r="K548" s="333"/>
      <c r="L548" s="33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5">
        <f>'[1]Prior Year'!BD72</f>
        <v>16159907.549999999</v>
      </c>
      <c r="C549" s="335">
        <f>BD71</f>
        <v>16559316</v>
      </c>
      <c r="D549" s="329" t="s">
        <v>529</v>
      </c>
      <c r="E549" s="329" t="s">
        <v>529</v>
      </c>
      <c r="F549" s="336"/>
      <c r="G549" s="336"/>
      <c r="H549" s="337"/>
      <c r="I549" s="268"/>
      <c r="J549" s="2"/>
      <c r="K549" s="333"/>
      <c r="L549" s="33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5">
        <f>'[1]Prior Year'!BE72</f>
        <v>3744004</v>
      </c>
      <c r="C550" s="335">
        <f>BE71</f>
        <v>3391272</v>
      </c>
      <c r="D550" s="335">
        <f>'[1]Prior Year'!BE59</f>
        <v>155374</v>
      </c>
      <c r="E550" s="2">
        <f>BE59</f>
        <v>155374</v>
      </c>
      <c r="F550" s="336">
        <f t="shared" si="19"/>
        <v>24.096721459188796</v>
      </c>
      <c r="G550" s="336">
        <f t="shared" si="19"/>
        <v>21.826508939719645</v>
      </c>
      <c r="H550" s="337" t="str">
        <f t="shared" si="16"/>
        <v/>
      </c>
      <c r="I550" s="268"/>
      <c r="J550" s="2"/>
      <c r="K550" s="333"/>
      <c r="L550" s="33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5">
        <f>'[1]Prior Year'!BF72</f>
        <v>1331913</v>
      </c>
      <c r="C551" s="335">
        <f>BF71</f>
        <v>1823562</v>
      </c>
      <c r="D551" s="329" t="s">
        <v>529</v>
      </c>
      <c r="E551" s="329" t="s">
        <v>529</v>
      </c>
      <c r="F551" s="336"/>
      <c r="G551" s="336"/>
      <c r="H551" s="337"/>
      <c r="I551" s="268"/>
      <c r="J551" s="324"/>
      <c r="K551" s="2"/>
      <c r="L551" s="2"/>
      <c r="M551" s="33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5">
        <f>'[1]Prior Year'!BG72</f>
        <v>117219</v>
      </c>
      <c r="C552" s="335">
        <f>BG71</f>
        <v>327372</v>
      </c>
      <c r="D552" s="329" t="s">
        <v>529</v>
      </c>
      <c r="E552" s="329" t="s">
        <v>529</v>
      </c>
      <c r="F552" s="336"/>
      <c r="G552" s="336"/>
      <c r="H552" s="337"/>
      <c r="I552" s="2"/>
      <c r="J552" s="324"/>
      <c r="K552" s="2"/>
      <c r="L552" s="2"/>
      <c r="M552" s="33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5">
        <f>'[1]Prior Year'!BH72</f>
        <v>2145193</v>
      </c>
      <c r="C553" s="335">
        <f>BH71</f>
        <v>2342325</v>
      </c>
      <c r="D553" s="329" t="s">
        <v>529</v>
      </c>
      <c r="E553" s="329" t="s">
        <v>529</v>
      </c>
      <c r="F553" s="336"/>
      <c r="G553" s="336"/>
      <c r="H553" s="337"/>
      <c r="I553" s="2"/>
      <c r="J553" s="324"/>
      <c r="K553" s="2"/>
      <c r="L553" s="2"/>
      <c r="M553" s="33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5">
        <f>'[1]Prior Year'!BI72</f>
        <v>10</v>
      </c>
      <c r="C554" s="335">
        <f>BI71</f>
        <v>0</v>
      </c>
      <c r="D554" s="329" t="s">
        <v>529</v>
      </c>
      <c r="E554" s="329" t="s">
        <v>529</v>
      </c>
      <c r="F554" s="336"/>
      <c r="G554" s="336"/>
      <c r="H554" s="337"/>
      <c r="I554" s="2"/>
      <c r="J554" s="324"/>
      <c r="K554" s="2"/>
      <c r="L554" s="2"/>
      <c r="M554" s="33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5">
        <f>'[1]Prior Year'!BJ72</f>
        <v>434953</v>
      </c>
      <c r="C555" s="335">
        <f>BJ71</f>
        <v>457499</v>
      </c>
      <c r="D555" s="329" t="s">
        <v>529</v>
      </c>
      <c r="E555" s="329" t="s">
        <v>529</v>
      </c>
      <c r="F555" s="336"/>
      <c r="G555" s="336"/>
      <c r="H555" s="337"/>
      <c r="I555" s="2"/>
      <c r="J555" s="324"/>
      <c r="K555" s="2"/>
      <c r="L555" s="2"/>
      <c r="M555" s="33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5">
        <f>'[1]Prior Year'!BK72</f>
        <v>3044945</v>
      </c>
      <c r="C556" s="335">
        <f>BK71</f>
        <v>2354295</v>
      </c>
      <c r="D556" s="329" t="s">
        <v>529</v>
      </c>
      <c r="E556" s="329" t="s">
        <v>529</v>
      </c>
      <c r="F556" s="336"/>
      <c r="G556" s="336"/>
      <c r="H556" s="337"/>
      <c r="I556" s="2"/>
      <c r="J556" s="324"/>
      <c r="K556" s="2"/>
      <c r="L556" s="2"/>
      <c r="M556" s="33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5">
        <f>'[1]Prior Year'!BL72</f>
        <v>151213</v>
      </c>
      <c r="C557" s="335">
        <f>BL71</f>
        <v>1381707</v>
      </c>
      <c r="D557" s="329" t="s">
        <v>529</v>
      </c>
      <c r="E557" s="329" t="s">
        <v>529</v>
      </c>
      <c r="F557" s="336"/>
      <c r="G557" s="336"/>
      <c r="H557" s="337"/>
      <c r="I557" s="2"/>
      <c r="J557" s="324"/>
      <c r="K557" s="2"/>
      <c r="L557" s="2"/>
      <c r="M557" s="33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5">
        <f>'[1]Prior Year'!BM72</f>
        <v>106582</v>
      </c>
      <c r="C558" s="335">
        <f>BM71</f>
        <v>0</v>
      </c>
      <c r="D558" s="329" t="s">
        <v>529</v>
      </c>
      <c r="E558" s="329" t="s">
        <v>529</v>
      </c>
      <c r="F558" s="336"/>
      <c r="G558" s="336"/>
      <c r="H558" s="337"/>
      <c r="I558" s="2"/>
      <c r="J558" s="324"/>
      <c r="K558" s="2"/>
      <c r="L558" s="2"/>
      <c r="M558" s="33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5">
        <f>'[1]Prior Year'!BN72</f>
        <v>5167647.29</v>
      </c>
      <c r="C559" s="335">
        <f>BN71</f>
        <v>5489422</v>
      </c>
      <c r="D559" s="329" t="s">
        <v>529</v>
      </c>
      <c r="E559" s="329" t="s">
        <v>529</v>
      </c>
      <c r="F559" s="336"/>
      <c r="G559" s="336"/>
      <c r="H559" s="337"/>
      <c r="I559" s="2"/>
      <c r="J559" s="324"/>
      <c r="K559" s="2"/>
      <c r="L559" s="2"/>
      <c r="M559" s="33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5">
        <f>'[1]Prior Year'!BO72</f>
        <v>0</v>
      </c>
      <c r="C560" s="335">
        <f>BO71</f>
        <v>0</v>
      </c>
      <c r="D560" s="329" t="s">
        <v>529</v>
      </c>
      <c r="E560" s="329" t="s">
        <v>529</v>
      </c>
      <c r="F560" s="336"/>
      <c r="G560" s="336"/>
      <c r="H560" s="337"/>
      <c r="I560" s="2"/>
      <c r="J560" s="324"/>
      <c r="K560" s="2"/>
      <c r="L560" s="2"/>
      <c r="M560" s="33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5">
        <f>'[1]Prior Year'!BP72</f>
        <v>371598</v>
      </c>
      <c r="C561" s="335">
        <f>BP71</f>
        <v>354889</v>
      </c>
      <c r="D561" s="329" t="s">
        <v>529</v>
      </c>
      <c r="E561" s="329" t="s">
        <v>529</v>
      </c>
      <c r="F561" s="336"/>
      <c r="G561" s="336"/>
      <c r="H561" s="337"/>
      <c r="I561" s="2"/>
      <c r="J561" s="324"/>
      <c r="K561" s="2"/>
      <c r="L561" s="2"/>
      <c r="M561" s="33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5">
        <f>'[1]Prior Year'!BQ72</f>
        <v>0</v>
      </c>
      <c r="C562" s="335">
        <f>BQ71</f>
        <v>0</v>
      </c>
      <c r="D562" s="329" t="s">
        <v>529</v>
      </c>
      <c r="E562" s="329" t="s">
        <v>529</v>
      </c>
      <c r="F562" s="336"/>
      <c r="G562" s="336"/>
      <c r="H562" s="337"/>
      <c r="I562" s="2"/>
      <c r="J562" s="324"/>
      <c r="K562" s="2"/>
      <c r="L562" s="2"/>
      <c r="M562" s="33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5">
        <f>'[1]Prior Year'!BR72</f>
        <v>619889</v>
      </c>
      <c r="C563" s="335">
        <f>BR71</f>
        <v>684798</v>
      </c>
      <c r="D563" s="329" t="s">
        <v>529</v>
      </c>
      <c r="E563" s="329" t="s">
        <v>529</v>
      </c>
      <c r="F563" s="336"/>
      <c r="G563" s="336"/>
      <c r="H563" s="337"/>
      <c r="I563" s="2"/>
      <c r="J563" s="324"/>
      <c r="K563" s="2"/>
      <c r="L563" s="2"/>
      <c r="M563" s="33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5">
        <f>'[1]Prior Year'!BS72</f>
        <v>16925</v>
      </c>
      <c r="C564" s="335">
        <f>BS71</f>
        <v>10228</v>
      </c>
      <c r="D564" s="329" t="s">
        <v>529</v>
      </c>
      <c r="E564" s="329" t="s">
        <v>529</v>
      </c>
      <c r="F564" s="336"/>
      <c r="G564" s="336"/>
      <c r="H564" s="337"/>
      <c r="I564" s="2"/>
      <c r="J564" s="324"/>
      <c r="K564" s="2"/>
      <c r="L564" s="2"/>
      <c r="M564" s="33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5">
        <f>'[1]Prior Year'!BT72</f>
        <v>0</v>
      </c>
      <c r="C565" s="335">
        <f>BT71</f>
        <v>0</v>
      </c>
      <c r="D565" s="329" t="s">
        <v>529</v>
      </c>
      <c r="E565" s="329" t="s">
        <v>529</v>
      </c>
      <c r="F565" s="336"/>
      <c r="G565" s="336"/>
      <c r="H565" s="337"/>
      <c r="I565" s="2"/>
      <c r="J565" s="324"/>
      <c r="K565" s="2"/>
      <c r="L565" s="2"/>
      <c r="M565" s="33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5">
        <f>'[1]Prior Year'!BU72</f>
        <v>0</v>
      </c>
      <c r="C566" s="335">
        <f>BU71</f>
        <v>119988</v>
      </c>
      <c r="D566" s="329" t="s">
        <v>529</v>
      </c>
      <c r="E566" s="329" t="s">
        <v>529</v>
      </c>
      <c r="F566" s="336"/>
      <c r="G566" s="336"/>
      <c r="H566" s="337"/>
      <c r="I566" s="2"/>
      <c r="J566" s="324"/>
      <c r="K566" s="2"/>
      <c r="L566" s="2"/>
      <c r="M566" s="33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5">
        <f>'[1]Prior Year'!BV72</f>
        <v>1195704</v>
      </c>
      <c r="C567" s="335">
        <f>BV71</f>
        <v>1131842</v>
      </c>
      <c r="D567" s="329" t="s">
        <v>529</v>
      </c>
      <c r="E567" s="329" t="s">
        <v>529</v>
      </c>
      <c r="F567" s="336"/>
      <c r="G567" s="336"/>
      <c r="H567" s="337"/>
      <c r="I567" s="2"/>
      <c r="J567" s="324"/>
      <c r="K567" s="2"/>
      <c r="L567" s="2"/>
      <c r="M567" s="33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5">
        <f>'[1]Prior Year'!BW72</f>
        <v>106330</v>
      </c>
      <c r="C568" s="335">
        <f>BW71</f>
        <v>128080</v>
      </c>
      <c r="D568" s="329" t="s">
        <v>529</v>
      </c>
      <c r="E568" s="329" t="s">
        <v>529</v>
      </c>
      <c r="F568" s="336"/>
      <c r="G568" s="336"/>
      <c r="H568" s="337"/>
      <c r="I568" s="2"/>
      <c r="J568" s="324"/>
      <c r="K568" s="2"/>
      <c r="L568" s="2"/>
      <c r="M568" s="33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5">
        <f>'[1]Prior Year'!BX72</f>
        <v>407348</v>
      </c>
      <c r="C569" s="335">
        <f>BX71</f>
        <v>640855</v>
      </c>
      <c r="D569" s="329" t="s">
        <v>529</v>
      </c>
      <c r="E569" s="329" t="s">
        <v>529</v>
      </c>
      <c r="F569" s="336"/>
      <c r="G569" s="336"/>
      <c r="H569" s="337"/>
      <c r="I569" s="2"/>
      <c r="J569" s="324"/>
      <c r="K569" s="2"/>
      <c r="L569" s="2"/>
      <c r="M569" s="33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5">
        <f>'[1]Prior Year'!BY72</f>
        <v>822172</v>
      </c>
      <c r="C570" s="335">
        <f>BY71</f>
        <v>1430566</v>
      </c>
      <c r="D570" s="329" t="s">
        <v>529</v>
      </c>
      <c r="E570" s="329" t="s">
        <v>529</v>
      </c>
      <c r="F570" s="336"/>
      <c r="G570" s="336"/>
      <c r="H570" s="337"/>
      <c r="I570" s="2"/>
      <c r="J570" s="324"/>
      <c r="K570" s="2"/>
      <c r="L570" s="2"/>
      <c r="M570" s="33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5">
        <f>'[1]Prior Year'!BZ72</f>
        <v>0</v>
      </c>
      <c r="C571" s="335">
        <f>BZ71</f>
        <v>0</v>
      </c>
      <c r="D571" s="329" t="s">
        <v>529</v>
      </c>
      <c r="E571" s="329" t="s">
        <v>529</v>
      </c>
      <c r="F571" s="336"/>
      <c r="G571" s="336"/>
      <c r="H571" s="337"/>
      <c r="I571" s="2"/>
      <c r="J571" s="324"/>
      <c r="K571" s="2"/>
      <c r="L571" s="2"/>
      <c r="M571" s="33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5">
        <f>'[1]Prior Year'!CA72</f>
        <v>251742.41</v>
      </c>
      <c r="C572" s="335">
        <f>CA71</f>
        <v>304481</v>
      </c>
      <c r="D572" s="329" t="s">
        <v>529</v>
      </c>
      <c r="E572" s="329" t="s">
        <v>529</v>
      </c>
      <c r="F572" s="336"/>
      <c r="G572" s="336"/>
      <c r="H572" s="337"/>
      <c r="I572" s="2"/>
      <c r="J572" s="324"/>
      <c r="K572" s="2"/>
      <c r="L572" s="2"/>
      <c r="M572" s="33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5">
        <f>'[1]Prior Year'!CB72</f>
        <v>0</v>
      </c>
      <c r="C573" s="335">
        <f>CB71</f>
        <v>0</v>
      </c>
      <c r="D573" s="329" t="s">
        <v>529</v>
      </c>
      <c r="E573" s="329" t="s">
        <v>529</v>
      </c>
      <c r="F573" s="336"/>
      <c r="G573" s="336"/>
      <c r="H573" s="337"/>
      <c r="I573" s="2"/>
      <c r="J573" s="324"/>
      <c r="K573" s="2"/>
      <c r="L573" s="2"/>
      <c r="M573" s="33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5">
        <f>'[1]Prior Year'!CC72</f>
        <v>3036592</v>
      </c>
      <c r="C574" s="335">
        <f>CC71</f>
        <v>0</v>
      </c>
      <c r="D574" s="329" t="s">
        <v>529</v>
      </c>
      <c r="E574" s="329" t="s">
        <v>529</v>
      </c>
      <c r="F574" s="336"/>
      <c r="G574" s="336"/>
      <c r="H574" s="337"/>
      <c r="I574" s="2"/>
      <c r="J574" s="324"/>
      <c r="K574" s="2"/>
      <c r="L574" s="2"/>
      <c r="M574" s="33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5">
        <f>'[1]Prior Year'!CD72</f>
        <v>12650155</v>
      </c>
      <c r="C575" s="335">
        <f>CD71</f>
        <v>16668620</v>
      </c>
      <c r="D575" s="329" t="s">
        <v>529</v>
      </c>
      <c r="E575" s="329" t="s">
        <v>529</v>
      </c>
      <c r="F575" s="336"/>
      <c r="G575" s="336"/>
      <c r="H575" s="3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8"/>
      <c r="B612" s="2"/>
      <c r="C612" s="329" t="s">
        <v>589</v>
      </c>
      <c r="D612" s="2">
        <f>CE76-(BE76+CD76)</f>
        <v>128336</v>
      </c>
      <c r="E612" s="2">
        <f>SUM(C624:D647)+SUM(C668:D713)</f>
        <v>110414811.23027053</v>
      </c>
      <c r="F612" s="2">
        <f>CE64-(AX64+BD64+BE64+BG64+BJ64+BN64+BP64+BQ64+CB64+CC64+CD64)</f>
        <v>7756567</v>
      </c>
      <c r="G612" s="2">
        <f>CE77-(AX77+AY77+BD77+BE77+BG77+BJ77+BN77+BP77+BQ77+CB77+CC77+CD77)</f>
        <v>56623</v>
      </c>
      <c r="H612" s="328">
        <f>CE60-(AX60+AY60+AZ60+BD60+BE60+BG60+BJ60+BN60+BO60+BP60+BQ60+BR60+CB60+CC60+CD60)</f>
        <v>428.08</v>
      </c>
      <c r="I612" s="2">
        <f>CE78-(AX78+AY78+AZ78+BD78+BE78+BF78+BG78+BJ78+BN78+BO78+BP78+BQ78+BR78+CB78+CC78+CD78)</f>
        <v>45521</v>
      </c>
      <c r="J612" s="2">
        <f>CE79-(AX79+AY79+AZ79+BA79+BD79+BE79+BF79+BG79+BJ79+BN79+BO79+BP79+BQ79+BR79+CB79+CC79+CD79)</f>
        <v>657893</v>
      </c>
      <c r="K612" s="2">
        <f>CE75-(AW75+AX75+AY75+AZ75+BA75+BB75+BC75+BD75+BE75+BF75+BG75+BH75+BI75+BJ75+BK75+BL75+BM75+BN75+BO75+BP75+BQ75+BR75+BS75+BT75+BU75+BV75+BW75+BX75+CB75+CC75+CD75)</f>
        <v>663162046</v>
      </c>
      <c r="L612" s="328">
        <f>CE80-(AW80+AX80+AY80+AZ80+BA80+BB80+BC80+BD80+BE80+BF80+BG80+BH80+BI80+BJ80+BK80+BL80+BM80+BN80+BO80+BP80+BQ80+BR80+BS80+BT80+BU80+BV80+BW80+BX80+BY80+BZ80+CA80+CB80+CC80+CD80)</f>
        <v>411.63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8"/>
      <c r="B613" s="2"/>
      <c r="C613" s="329" t="s">
        <v>590</v>
      </c>
      <c r="D613" s="329" t="s">
        <v>591</v>
      </c>
      <c r="E613" s="332" t="s">
        <v>592</v>
      </c>
      <c r="F613" s="329" t="s">
        <v>593</v>
      </c>
      <c r="G613" s="329" t="s">
        <v>594</v>
      </c>
      <c r="H613" s="329" t="s">
        <v>595</v>
      </c>
      <c r="I613" s="329" t="s">
        <v>596</v>
      </c>
      <c r="J613" s="329" t="s">
        <v>597</v>
      </c>
      <c r="K613" s="329" t="s">
        <v>598</v>
      </c>
      <c r="L613" s="332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8">
        <v>8430</v>
      </c>
      <c r="B614" s="332" t="s">
        <v>140</v>
      </c>
      <c r="C614" s="2">
        <f>BE71</f>
        <v>3391272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4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8"/>
      <c r="B615" s="332" t="s">
        <v>601</v>
      </c>
      <c r="C615" s="339">
        <f>CD69-CD70</f>
        <v>16668620</v>
      </c>
      <c r="D615" s="340">
        <f>SUM(C614:C615)</f>
        <v>20059892</v>
      </c>
      <c r="E615" s="2"/>
      <c r="F615" s="2"/>
      <c r="G615" s="2"/>
      <c r="H615" s="2"/>
      <c r="I615" s="2"/>
      <c r="J615" s="2"/>
      <c r="K615" s="2"/>
      <c r="L615" s="2"/>
      <c r="M615" s="2"/>
      <c r="N615" s="324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8">
        <v>8310</v>
      </c>
      <c r="B616" s="341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4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8">
        <v>8510</v>
      </c>
      <c r="B617" s="341" t="s">
        <v>145</v>
      </c>
      <c r="C617" s="2">
        <f>BJ71</f>
        <v>457499</v>
      </c>
      <c r="D617" s="2">
        <f>(D615/D612)*BJ76</f>
        <v>255562.92404313677</v>
      </c>
      <c r="E617" s="2"/>
      <c r="F617" s="2"/>
      <c r="G617" s="2"/>
      <c r="H617" s="2"/>
      <c r="I617" s="2"/>
      <c r="J617" s="2"/>
      <c r="K617" s="2"/>
      <c r="L617" s="2"/>
      <c r="M617" s="2"/>
      <c r="N617" s="324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8">
        <v>8470</v>
      </c>
      <c r="B618" s="341" t="s">
        <v>606</v>
      </c>
      <c r="C618" s="2">
        <f>BG71</f>
        <v>327372</v>
      </c>
      <c r="D618" s="2">
        <f>(D615/D612)*BG76</f>
        <v>52675.660796658769</v>
      </c>
      <c r="E618" s="2"/>
      <c r="F618" s="2"/>
      <c r="G618" s="2"/>
      <c r="H618" s="2"/>
      <c r="I618" s="2"/>
      <c r="J618" s="2"/>
      <c r="K618" s="2"/>
      <c r="L618" s="2"/>
      <c r="M618" s="2"/>
      <c r="N618" s="324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8">
        <v>8610</v>
      </c>
      <c r="B619" s="341" t="s">
        <v>608</v>
      </c>
      <c r="C619" s="2">
        <f>BN71</f>
        <v>5489422</v>
      </c>
      <c r="D619" s="2">
        <f>(D615/D612)*BN76</f>
        <v>605691.9453621743</v>
      </c>
      <c r="E619" s="2"/>
      <c r="F619" s="2"/>
      <c r="G619" s="2"/>
      <c r="H619" s="2"/>
      <c r="I619" s="2"/>
      <c r="J619" s="2"/>
      <c r="K619" s="2"/>
      <c r="L619" s="2"/>
      <c r="M619" s="2"/>
      <c r="N619" s="324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8">
        <v>8790</v>
      </c>
      <c r="B620" s="341" t="s">
        <v>610</v>
      </c>
      <c r="C620" s="2">
        <f>CC71</f>
        <v>0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24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8">
        <v>8630</v>
      </c>
      <c r="B621" s="341" t="s">
        <v>612</v>
      </c>
      <c r="C621" s="2">
        <f>BP71</f>
        <v>354889</v>
      </c>
      <c r="D621" s="2">
        <f>(D615/D612)*BP76</f>
        <v>113948.23952749034</v>
      </c>
      <c r="E621" s="2"/>
      <c r="F621" s="2"/>
      <c r="G621" s="2"/>
      <c r="H621" s="2"/>
      <c r="I621" s="2"/>
      <c r="J621" s="2"/>
      <c r="K621" s="2"/>
      <c r="L621" s="2"/>
      <c r="M621" s="2"/>
      <c r="N621" s="324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8">
        <v>8770</v>
      </c>
      <c r="B622" s="332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4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8">
        <v>8640</v>
      </c>
      <c r="B623" s="341" t="s">
        <v>616</v>
      </c>
      <c r="C623" s="2">
        <f>BQ71</f>
        <v>0</v>
      </c>
      <c r="D623" s="2">
        <f>(D615/D612)*BQ76</f>
        <v>0</v>
      </c>
      <c r="E623" s="2">
        <f>SUM(C616:D623)</f>
        <v>7657060.7697294597</v>
      </c>
      <c r="F623" s="2"/>
      <c r="G623" s="2"/>
      <c r="H623" s="2"/>
      <c r="I623" s="2"/>
      <c r="J623" s="2"/>
      <c r="K623" s="2"/>
      <c r="L623" s="2"/>
      <c r="M623" s="2"/>
      <c r="N623" s="324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8">
        <v>8420</v>
      </c>
      <c r="B624" s="341" t="s">
        <v>139</v>
      </c>
      <c r="C624" s="2">
        <f>BD71</f>
        <v>16559316</v>
      </c>
      <c r="D624" s="2">
        <f>(D615/D612)*BD76</f>
        <v>400928.99093005859</v>
      </c>
      <c r="E624" s="2">
        <f>(E623/E612)*SUM(C624:D624)</f>
        <v>1176161.2877661479</v>
      </c>
      <c r="F624" s="2">
        <f>SUM(C624:E624)</f>
        <v>18136406.278696205</v>
      </c>
      <c r="G624" s="2"/>
      <c r="H624" s="2"/>
      <c r="I624" s="2"/>
      <c r="J624" s="2"/>
      <c r="K624" s="2"/>
      <c r="L624" s="2"/>
      <c r="M624" s="2"/>
      <c r="N624" s="324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8">
        <v>8320</v>
      </c>
      <c r="B625" s="341" t="s">
        <v>135</v>
      </c>
      <c r="C625" s="2">
        <f>AY71</f>
        <v>2041623</v>
      </c>
      <c r="D625" s="2">
        <f>(D615/D612)*AY76</f>
        <v>856409.33384241373</v>
      </c>
      <c r="E625" s="2">
        <f>(E623/E612)*SUM(C625:D625)</f>
        <v>200973.12530466646</v>
      </c>
      <c r="F625" s="2">
        <f>(F624/F612)*AY64</f>
        <v>1559469.6180404644</v>
      </c>
      <c r="G625" s="2">
        <f>SUM(C625:F625)</f>
        <v>4658475.0771875437</v>
      </c>
      <c r="H625" s="2"/>
      <c r="I625" s="2"/>
      <c r="J625" s="2"/>
      <c r="K625" s="2"/>
      <c r="L625" s="2"/>
      <c r="M625" s="2"/>
      <c r="N625" s="324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8">
        <v>8650</v>
      </c>
      <c r="B626" s="341" t="s">
        <v>152</v>
      </c>
      <c r="C626" s="2">
        <f>BR71</f>
        <v>684798</v>
      </c>
      <c r="D626" s="2">
        <f>(D615/D612)*BR76</f>
        <v>158339.5975875826</v>
      </c>
      <c r="E626" s="2">
        <f>(E623/E612)*SUM(C626:D626)</f>
        <v>58470.016386731862</v>
      </c>
      <c r="F626" s="2">
        <f>(F624/F612)*BR64</f>
        <v>20742.173708847491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4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8">
        <v>8620</v>
      </c>
      <c r="B627" s="332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4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8">
        <v>8330</v>
      </c>
      <c r="B628" s="341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922349.78768316202</v>
      </c>
      <c r="I628" s="2"/>
      <c r="J628" s="2"/>
      <c r="K628" s="2"/>
      <c r="L628" s="2"/>
      <c r="M628" s="2"/>
      <c r="N628" s="324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8">
        <v>8460</v>
      </c>
      <c r="B629" s="341" t="s">
        <v>141</v>
      </c>
      <c r="C629" s="2">
        <f>BF71</f>
        <v>1823562</v>
      </c>
      <c r="D629" s="2">
        <f>(D615/D612)*BF76</f>
        <v>357788.09366039146</v>
      </c>
      <c r="E629" s="2">
        <f>(E623/E612)*SUM(C629:D629)</f>
        <v>151272.55158168095</v>
      </c>
      <c r="F629" s="2">
        <f>(F624/F612)*BF64</f>
        <v>248445.4590726626</v>
      </c>
      <c r="G629" s="2">
        <f>(G625/G612)*BF77</f>
        <v>0</v>
      </c>
      <c r="H629" s="2">
        <f>(H628/H612)*BF60</f>
        <v>47035.357561959034</v>
      </c>
      <c r="I629" s="2">
        <f>SUM(C629:H629)</f>
        <v>2628103.4618766936</v>
      </c>
      <c r="J629" s="2"/>
      <c r="K629" s="2"/>
      <c r="L629" s="2"/>
      <c r="M629" s="2"/>
      <c r="N629" s="324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8">
        <v>8350</v>
      </c>
      <c r="B630" s="341" t="s">
        <v>625</v>
      </c>
      <c r="C630" s="2">
        <f>BA71</f>
        <v>0</v>
      </c>
      <c r="D630" s="2">
        <f>(D615/D612)*BA76</f>
        <v>0</v>
      </c>
      <c r="E630" s="2">
        <f>(E623/E612)*SUM(C630:D630)</f>
        <v>0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0</v>
      </c>
      <c r="K630" s="2"/>
      <c r="L630" s="2"/>
      <c r="M630" s="2"/>
      <c r="N630" s="324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8">
        <v>8200</v>
      </c>
      <c r="B631" s="341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4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8">
        <v>8360</v>
      </c>
      <c r="B632" s="341" t="s">
        <v>629</v>
      </c>
      <c r="C632" s="2">
        <f>BB71</f>
        <v>1078117</v>
      </c>
      <c r="D632" s="2">
        <f>(D615/D612)*BB76</f>
        <v>115667.6231143249</v>
      </c>
      <c r="E632" s="2">
        <f>(E623/E612)*SUM(C632:D632)</f>
        <v>82786.732172114309</v>
      </c>
      <c r="F632" s="2">
        <f>(F624/F612)*BB64</f>
        <v>6189.2158502219936</v>
      </c>
      <c r="G632" s="2">
        <f>(G625/G612)*BB77</f>
        <v>0</v>
      </c>
      <c r="H632" s="2">
        <f>(H628/H612)*BB60</f>
        <v>17883.347126168577</v>
      </c>
      <c r="I632" s="2">
        <f>(I629/I612)*BB78</f>
        <v>12528.249626046058</v>
      </c>
      <c r="J632" s="2">
        <f>(J630/J612)*BB79</f>
        <v>0</v>
      </c>
      <c r="K632" s="2"/>
      <c r="L632" s="2"/>
      <c r="M632" s="2"/>
      <c r="N632" s="324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8">
        <v>8370</v>
      </c>
      <c r="B633" s="341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4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8">
        <v>8490</v>
      </c>
      <c r="B634" s="341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4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8">
        <v>8530</v>
      </c>
      <c r="B635" s="341" t="s">
        <v>635</v>
      </c>
      <c r="C635" s="2">
        <f>BK71</f>
        <v>2354295</v>
      </c>
      <c r="D635" s="2">
        <f>(D615/D612)*BK76</f>
        <v>0</v>
      </c>
      <c r="E635" s="2">
        <f>(E623/E612)*SUM(C635:D635)</f>
        <v>163265.95756501253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4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8">
        <v>8480</v>
      </c>
      <c r="B636" s="341" t="s">
        <v>637</v>
      </c>
      <c r="C636" s="2">
        <f>BH71</f>
        <v>2342325</v>
      </c>
      <c r="D636" s="2">
        <f>(D615/D612)*BH76</f>
        <v>117543.3142999626</v>
      </c>
      <c r="E636" s="2">
        <f>(E623/E612)*SUM(C636:D636)</f>
        <v>170587.26957242683</v>
      </c>
      <c r="F636" s="2">
        <f>(F624/F612)*BH64</f>
        <v>109331.90175312814</v>
      </c>
      <c r="G636" s="2">
        <f>(G625/G612)*BH77</f>
        <v>0</v>
      </c>
      <c r="H636" s="2">
        <f>(H628/H612)*BH60</f>
        <v>10493.000060776021</v>
      </c>
      <c r="I636" s="2">
        <f>(I629/I612)*BH78</f>
        <v>12701.451233779413</v>
      </c>
      <c r="J636" s="2">
        <f>(J630/J612)*BH79</f>
        <v>0</v>
      </c>
      <c r="K636" s="2"/>
      <c r="L636" s="2"/>
      <c r="M636" s="2"/>
      <c r="N636" s="324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8">
        <v>8560</v>
      </c>
      <c r="B637" s="341" t="s">
        <v>147</v>
      </c>
      <c r="C637" s="2">
        <f>BL71</f>
        <v>1381707</v>
      </c>
      <c r="D637" s="2">
        <f>(D615/D612)*BL76</f>
        <v>281509.98544445832</v>
      </c>
      <c r="E637" s="2">
        <f>(E623/E612)*SUM(C637:D637)</f>
        <v>115340.98902940497</v>
      </c>
      <c r="F637" s="2">
        <f>(F624/F612)*BL64</f>
        <v>98506.034965622355</v>
      </c>
      <c r="G637" s="2">
        <f>(G625/G612)*BL77</f>
        <v>0</v>
      </c>
      <c r="H637" s="2">
        <f>(H628/H612)*BL60</f>
        <v>42639.932485165795</v>
      </c>
      <c r="I637" s="2">
        <f>(I629/I612)*BL78</f>
        <v>30483.482961070589</v>
      </c>
      <c r="J637" s="2">
        <f>(J630/J612)*BL79</f>
        <v>0</v>
      </c>
      <c r="K637" s="2"/>
      <c r="L637" s="2"/>
      <c r="M637" s="2"/>
      <c r="N637" s="324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8">
        <v>8590</v>
      </c>
      <c r="B638" s="341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4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8">
        <v>8660</v>
      </c>
      <c r="B639" s="341" t="s">
        <v>642</v>
      </c>
      <c r="C639" s="2">
        <f>BS71</f>
        <v>10228</v>
      </c>
      <c r="D639" s="2">
        <f>(D615/D612)*BS76</f>
        <v>44703.973257698541</v>
      </c>
      <c r="E639" s="2">
        <f>(E623/E612)*SUM(C639:D639)</f>
        <v>3809.4296657189575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4849.6450165339575</v>
      </c>
      <c r="J639" s="2">
        <f>(J630/J612)*BS79</f>
        <v>0</v>
      </c>
      <c r="K639" s="2"/>
      <c r="L639" s="2"/>
      <c r="M639" s="2"/>
      <c r="N639" s="324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8">
        <v>8670</v>
      </c>
      <c r="B640" s="341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4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8">
        <v>8680</v>
      </c>
      <c r="B641" s="341" t="s">
        <v>646</v>
      </c>
      <c r="C641" s="2">
        <f>BU71</f>
        <v>119988</v>
      </c>
      <c r="D641" s="2">
        <f>(D615/D612)*BU76</f>
        <v>524411.99398454058</v>
      </c>
      <c r="E641" s="2">
        <f>(E623/E612)*SUM(C641:D641)</f>
        <v>44687.935060293777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4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8">
        <v>8690</v>
      </c>
      <c r="B642" s="341" t="s">
        <v>648</v>
      </c>
      <c r="C642" s="2">
        <f>BV71</f>
        <v>1131842</v>
      </c>
      <c r="D642" s="2">
        <f>(D615/D612)*BV76</f>
        <v>0</v>
      </c>
      <c r="E642" s="2">
        <f>(E623/E612)*SUM(C642:D642)</f>
        <v>78491.127043254528</v>
      </c>
      <c r="F642" s="2">
        <f>(F624/F612)*BV64</f>
        <v>38229.572780932976</v>
      </c>
      <c r="G642" s="2">
        <f>(G625/G612)*BV77</f>
        <v>0</v>
      </c>
      <c r="H642" s="2">
        <f>(H628/H612)*BV60</f>
        <v>24067.106915578675</v>
      </c>
      <c r="I642" s="2">
        <f>(I629/I612)*BV78</f>
        <v>56752.393467296191</v>
      </c>
      <c r="J642" s="2">
        <f>(J630/J612)*BV79</f>
        <v>0</v>
      </c>
      <c r="K642" s="2"/>
      <c r="L642" s="2"/>
      <c r="M642" s="2"/>
      <c r="N642" s="324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8">
        <v>8700</v>
      </c>
      <c r="B643" s="341" t="s">
        <v>650</v>
      </c>
      <c r="C643" s="2">
        <f>BW71</f>
        <v>128080</v>
      </c>
      <c r="D643" s="2">
        <f>(D615/D612)*BW76</f>
        <v>0</v>
      </c>
      <c r="E643" s="2">
        <f>(E623/E612)*SUM(C643:D643)</f>
        <v>8882.108590863425</v>
      </c>
      <c r="F643" s="2">
        <f>(F624/F612)*BW64</f>
        <v>2953.1468148206945</v>
      </c>
      <c r="G643" s="2">
        <f>(G625/G612)*BW77</f>
        <v>0</v>
      </c>
      <c r="H643" s="2">
        <f>(H628/H612)*BW60</f>
        <v>2736.3675723173606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4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8">
        <v>8710</v>
      </c>
      <c r="B644" s="341" t="s">
        <v>652</v>
      </c>
      <c r="C644" s="2">
        <f>BX71</f>
        <v>640855</v>
      </c>
      <c r="D644" s="2">
        <f>(D615/D612)*BX76</f>
        <v>12973.530700660765</v>
      </c>
      <c r="E644" s="2">
        <f>(E623/E612)*SUM(C644:D644)</f>
        <v>45341.786457588612</v>
      </c>
      <c r="F644" s="2">
        <f>(F624/F612)*BX64</f>
        <v>22402.295829609717</v>
      </c>
      <c r="G644" s="2">
        <f>(G625/G612)*BX77</f>
        <v>0</v>
      </c>
      <c r="H644" s="2">
        <f>(H628/H612)*BX60</f>
        <v>5451.1889432778908</v>
      </c>
      <c r="I644" s="2">
        <f>(I629/I612)*BX78</f>
        <v>1385.6128618668449</v>
      </c>
      <c r="J644" s="2">
        <f>(J630/J612)*BX79</f>
        <v>0</v>
      </c>
      <c r="K644" s="2">
        <f>SUM(C631:J644)</f>
        <v>11497024.702222535</v>
      </c>
      <c r="L644" s="2"/>
      <c r="M644" s="2"/>
      <c r="N644" s="324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8">
        <v>8720</v>
      </c>
      <c r="B645" s="341" t="s">
        <v>654</v>
      </c>
      <c r="C645" s="2">
        <f>BY71</f>
        <v>1430566</v>
      </c>
      <c r="D645" s="2">
        <f>(D615/D612)*BY76</f>
        <v>182098.35260566015</v>
      </c>
      <c r="E645" s="2">
        <f>(E623/E612)*SUM(C645:D645)</f>
        <v>111835.25843580526</v>
      </c>
      <c r="F645" s="2">
        <f>(F624/F612)*BY64</f>
        <v>26653.143738829054</v>
      </c>
      <c r="G645" s="2">
        <f>(G625/G612)*BY77</f>
        <v>0</v>
      </c>
      <c r="H645" s="2">
        <f>(H628/H612)*BY60</f>
        <v>22063.31018939352</v>
      </c>
      <c r="I645" s="2">
        <f>(I629/I612)*BY78</f>
        <v>19687.249412358087</v>
      </c>
      <c r="J645" s="2">
        <f>(J630/J612)*BY79</f>
        <v>0</v>
      </c>
      <c r="K645" s="2">
        <v>0</v>
      </c>
      <c r="L645" s="2"/>
      <c r="M645" s="2"/>
      <c r="N645" s="324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8">
        <v>8730</v>
      </c>
      <c r="B646" s="341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4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8">
        <v>8740</v>
      </c>
      <c r="B647" s="341" t="s">
        <v>658</v>
      </c>
      <c r="C647" s="2">
        <f>CA71</f>
        <v>304481</v>
      </c>
      <c r="D647" s="2">
        <f>(D615/D612)*CA76</f>
        <v>349972.7137202344</v>
      </c>
      <c r="E647" s="2">
        <f>(E623/E612)*SUM(C647:D647)</f>
        <v>45385.141731394171</v>
      </c>
      <c r="F647" s="2">
        <f>(F624/F612)*CA64</f>
        <v>918.91266684444406</v>
      </c>
      <c r="G647" s="2">
        <f>(G625/G612)*CA77</f>
        <v>0</v>
      </c>
      <c r="H647" s="2">
        <f>(H628/H612)*CA60</f>
        <v>3490.4846198063969</v>
      </c>
      <c r="I647" s="2">
        <f>(I629/I612)*CA78</f>
        <v>37873.41822436043</v>
      </c>
      <c r="J647" s="2">
        <f>(J630/J612)*CA79</f>
        <v>0</v>
      </c>
      <c r="K647" s="2">
        <v>0</v>
      </c>
      <c r="L647" s="2">
        <f>SUM(C645:K647)</f>
        <v>2535024.9853446865</v>
      </c>
      <c r="M647" s="2"/>
      <c r="N647" s="324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8"/>
      <c r="B648" s="338"/>
      <c r="C648" s="2">
        <f>SUM(C614:C647)</f>
        <v>58720857</v>
      </c>
      <c r="D648" s="2"/>
      <c r="E648" s="2"/>
      <c r="F648" s="2"/>
      <c r="G648" s="2"/>
      <c r="H648" s="2"/>
      <c r="I648" s="2"/>
      <c r="J648" s="2"/>
      <c r="K648" s="2"/>
      <c r="L648" s="34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9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9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9" t="s">
        <v>590</v>
      </c>
      <c r="D667" s="329" t="s">
        <v>591</v>
      </c>
      <c r="E667" s="332" t="s">
        <v>592</v>
      </c>
      <c r="F667" s="329" t="s">
        <v>593</v>
      </c>
      <c r="G667" s="329" t="s">
        <v>594</v>
      </c>
      <c r="H667" s="329" t="s">
        <v>595</v>
      </c>
      <c r="I667" s="329" t="s">
        <v>596</v>
      </c>
      <c r="J667" s="329" t="s">
        <v>597</v>
      </c>
      <c r="K667" s="329" t="s">
        <v>598</v>
      </c>
      <c r="L667" s="332" t="s">
        <v>599</v>
      </c>
      <c r="M667" s="329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8">
        <v>6010</v>
      </c>
      <c r="B668" s="332" t="s">
        <v>283</v>
      </c>
      <c r="C668" s="2">
        <f>C71</f>
        <v>8195784</v>
      </c>
      <c r="D668" s="2">
        <f>(D615/D612)*C76</f>
        <v>1314859.5211320284</v>
      </c>
      <c r="E668" s="2">
        <f>(E623/E612)*SUM(C668:D668)</f>
        <v>659545.35074708262</v>
      </c>
      <c r="F668" s="2">
        <f>(F624/F612)*C64</f>
        <v>675255.84172012098</v>
      </c>
      <c r="G668" s="2">
        <f>(G625/G612)*C77</f>
        <v>1823828.8220797153</v>
      </c>
      <c r="H668" s="2">
        <f>(H628/H612)*C60</f>
        <v>140502.77904788588</v>
      </c>
      <c r="I668" s="2">
        <f>(I629/I612)*C78</f>
        <v>142313.98768757386</v>
      </c>
      <c r="J668" s="2">
        <f>(J630/J612)*C79</f>
        <v>0</v>
      </c>
      <c r="K668" s="2">
        <f>(K644/K612)*C75</f>
        <v>676628.17278456339</v>
      </c>
      <c r="L668" s="2">
        <f>(L647/L612)*C80</f>
        <v>328679.35638278531</v>
      </c>
      <c r="M668" s="2">
        <f t="shared" ref="M668:M713" si="20">ROUND(SUM(D668:L668),0)</f>
        <v>5761614</v>
      </c>
      <c r="N668" s="332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8">
        <v>6030</v>
      </c>
      <c r="B669" s="332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2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8">
        <v>6070</v>
      </c>
      <c r="B670" s="332" t="s">
        <v>665</v>
      </c>
      <c r="C670" s="2">
        <f>E71</f>
        <v>6301267</v>
      </c>
      <c r="D670" s="2">
        <f>(D615/D612)*E76</f>
        <v>1867875.805697544</v>
      </c>
      <c r="E670" s="2">
        <f>(E623/E612)*SUM(C670:D670)</f>
        <v>566514.78368579235</v>
      </c>
      <c r="F670" s="2">
        <f>(F624/F612)*E64</f>
        <v>578671.80729431065</v>
      </c>
      <c r="G670" s="2">
        <f>(G625/G612)*E77</f>
        <v>2238256.4664347796</v>
      </c>
      <c r="H670" s="2">
        <f>(H628/H612)*E60</f>
        <v>116392.57972959356</v>
      </c>
      <c r="I670" s="2">
        <f>(I629/I612)*E78</f>
        <v>202126.27622482603</v>
      </c>
      <c r="J670" s="2">
        <f>(J630/J612)*E79</f>
        <v>0</v>
      </c>
      <c r="K670" s="2">
        <f>(K644/K612)*E75</f>
        <v>412392.80478718923</v>
      </c>
      <c r="L670" s="2">
        <f>(L647/L612)*E80</f>
        <v>288464.32551938668</v>
      </c>
      <c r="M670" s="2">
        <f t="shared" si="20"/>
        <v>6270695</v>
      </c>
      <c r="N670" s="332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8">
        <v>6100</v>
      </c>
      <c r="B671" s="332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2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8">
        <v>6120</v>
      </c>
      <c r="B672" s="332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2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8">
        <v>6140</v>
      </c>
      <c r="B673" s="332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2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8">
        <v>6150</v>
      </c>
      <c r="B674" s="332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2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8">
        <v>6170</v>
      </c>
      <c r="B675" s="332" t="s">
        <v>99</v>
      </c>
      <c r="C675" s="2">
        <f>J71</f>
        <v>654405</v>
      </c>
      <c r="D675" s="2">
        <f>(D615/D612)*J76</f>
        <v>111447.31794664008</v>
      </c>
      <c r="E675" s="2">
        <f>(E623/E612)*SUM(C675:D675)</f>
        <v>53110.426706484373</v>
      </c>
      <c r="F675" s="2">
        <f>(F624/F612)*J64</f>
        <v>100084.32008043151</v>
      </c>
      <c r="G675" s="2">
        <f>(G625/G612)*J77</f>
        <v>255489.25805680579</v>
      </c>
      <c r="H675" s="2">
        <f>(H628/H612)*J60</f>
        <v>6722.4148233308388</v>
      </c>
      <c r="I675" s="2">
        <f>(I629/I612)*J78</f>
        <v>12066.378672090441</v>
      </c>
      <c r="J675" s="2">
        <f>(J630/J612)*J79</f>
        <v>0</v>
      </c>
      <c r="K675" s="2">
        <f>(K644/K612)*J75</f>
        <v>61774.160848361113</v>
      </c>
      <c r="L675" s="2">
        <f>(L647/L612)*J80</f>
        <v>16935.885891936661</v>
      </c>
      <c r="M675" s="2">
        <f t="shared" si="20"/>
        <v>617630</v>
      </c>
      <c r="N675" s="332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8">
        <v>6200</v>
      </c>
      <c r="B676" s="332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2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8">
        <v>6210</v>
      </c>
      <c r="B677" s="332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2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8">
        <v>6330</v>
      </c>
      <c r="B678" s="332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2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8">
        <v>6400</v>
      </c>
      <c r="B679" s="332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2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8">
        <v>7010</v>
      </c>
      <c r="B680" s="332" t="s">
        <v>682</v>
      </c>
      <c r="C680" s="2">
        <f>O71</f>
        <v>4048688</v>
      </c>
      <c r="D680" s="2">
        <f>(D615/D612)*O76</f>
        <v>3525517.8910048623</v>
      </c>
      <c r="E680" s="2">
        <f>(E623/E612)*SUM(C680:D680)</f>
        <v>525257.02071722865</v>
      </c>
      <c r="F680" s="2">
        <f>(F624/F612)*O64</f>
        <v>338417.06341746508</v>
      </c>
      <c r="G680" s="2">
        <f>(G625/G612)*O77</f>
        <v>340900.53061624314</v>
      </c>
      <c r="H680" s="2">
        <f>(H628/H612)*O60</f>
        <v>48608.2302610076</v>
      </c>
      <c r="I680" s="2">
        <f>(I629/I612)*O78</f>
        <v>381505.40796733799</v>
      </c>
      <c r="J680" s="2">
        <f>(J630/J612)*O79</f>
        <v>0</v>
      </c>
      <c r="K680" s="2">
        <f>(K644/K612)*O75</f>
        <v>371704.09722437838</v>
      </c>
      <c r="L680" s="2">
        <f>(L647/L612)*O80</f>
        <v>110668.3161738552</v>
      </c>
      <c r="M680" s="2">
        <f t="shared" si="20"/>
        <v>5642579</v>
      </c>
      <c r="N680" s="332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8">
        <v>7020</v>
      </c>
      <c r="B681" s="332" t="s">
        <v>684</v>
      </c>
      <c r="C681" s="2">
        <f>P71</f>
        <v>5740882</v>
      </c>
      <c r="D681" s="2">
        <f>(D615/D612)*P76</f>
        <v>353098.86569629726</v>
      </c>
      <c r="E681" s="2">
        <f>(E623/E612)*SUM(C681:D681)</f>
        <v>422606.18207181769</v>
      </c>
      <c r="F681" s="2">
        <f>(F624/F612)*P64</f>
        <v>2585672.9378895503</v>
      </c>
      <c r="G681" s="2">
        <f>(G625/G612)*P77</f>
        <v>0</v>
      </c>
      <c r="H681" s="2">
        <f>(H628/H612)*P60</f>
        <v>59639.885355704362</v>
      </c>
      <c r="I681" s="2">
        <f>(I629/I612)*P78</f>
        <v>38219.821439827138</v>
      </c>
      <c r="J681" s="2">
        <f>(J630/J612)*P79</f>
        <v>0</v>
      </c>
      <c r="K681" s="2">
        <f>(K644/K612)*P75</f>
        <v>3359021.7352683614</v>
      </c>
      <c r="L681" s="2">
        <f>(L647/L612)*P80</f>
        <v>134070.63122453133</v>
      </c>
      <c r="M681" s="2">
        <f t="shared" si="20"/>
        <v>6952330</v>
      </c>
      <c r="N681" s="332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8">
        <v>7030</v>
      </c>
      <c r="B682" s="332" t="s">
        <v>686</v>
      </c>
      <c r="C682" s="2">
        <f>Q71</f>
        <v>1248170</v>
      </c>
      <c r="D682" s="2">
        <f>(D615/D612)*Q76</f>
        <v>448915.4237626231</v>
      </c>
      <c r="E682" s="2">
        <f>(E623/E612)*SUM(C682:D682)</f>
        <v>117689.70191935579</v>
      </c>
      <c r="F682" s="2">
        <f>(F624/F612)*Q64</f>
        <v>86777.622912462728</v>
      </c>
      <c r="G682" s="2">
        <f>(G625/G612)*Q77</f>
        <v>0</v>
      </c>
      <c r="H682" s="2">
        <f>(H628/H612)*Q60</f>
        <v>15383.987768776342</v>
      </c>
      <c r="I682" s="2">
        <f>(I629/I612)*Q78</f>
        <v>48554.184034584025</v>
      </c>
      <c r="J682" s="2">
        <f>(J630/J612)*Q79</f>
        <v>0</v>
      </c>
      <c r="K682" s="2">
        <f>(K644/K612)*Q75</f>
        <v>465473.97550589836</v>
      </c>
      <c r="L682" s="2">
        <f>(L647/L612)*Q80</f>
        <v>35842.493051298683</v>
      </c>
      <c r="M682" s="2">
        <f t="shared" si="20"/>
        <v>1218637</v>
      </c>
      <c r="N682" s="332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8">
        <v>7040</v>
      </c>
      <c r="B683" s="332" t="s">
        <v>107</v>
      </c>
      <c r="C683" s="2">
        <f>R71</f>
        <v>1576473</v>
      </c>
      <c r="D683" s="2">
        <f>(D615/D612)*R76</f>
        <v>53613.506389477625</v>
      </c>
      <c r="E683" s="2">
        <f>(E623/E612)*SUM(C683:D683)</f>
        <v>113043.45223495099</v>
      </c>
      <c r="F683" s="2">
        <f>(F624/F612)*R64</f>
        <v>364511.37731564319</v>
      </c>
      <c r="G683" s="2">
        <f>(G625/G612)*R77</f>
        <v>0</v>
      </c>
      <c r="H683" s="2">
        <f>(H628/H612)*R60</f>
        <v>4201.509264581774</v>
      </c>
      <c r="I683" s="2">
        <f>(I629/I612)*R78</f>
        <v>5773.3869244451871</v>
      </c>
      <c r="J683" s="2">
        <f>(J630/J612)*R79</f>
        <v>0</v>
      </c>
      <c r="K683" s="2">
        <f>(K644/K612)*R75</f>
        <v>301731.52690381289</v>
      </c>
      <c r="L683" s="2">
        <f>(L647/L612)*R80</f>
        <v>10469.456733197208</v>
      </c>
      <c r="M683" s="2">
        <f t="shared" si="20"/>
        <v>853344</v>
      </c>
      <c r="N683" s="332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8">
        <v>7050</v>
      </c>
      <c r="B684" s="332" t="s">
        <v>689</v>
      </c>
      <c r="C684" s="2">
        <f>S71</f>
        <v>1381958</v>
      </c>
      <c r="D684" s="2">
        <f>(D615/D612)*S76</f>
        <v>451260.03774467023</v>
      </c>
      <c r="E684" s="2">
        <f>(E623/E612)*SUM(C684:D684)</f>
        <v>127130.24423780234</v>
      </c>
      <c r="F684" s="2">
        <f>(F624/F612)*S64</f>
        <v>401751.89142462908</v>
      </c>
      <c r="G684" s="2">
        <f>(G625/G612)*S77</f>
        <v>0</v>
      </c>
      <c r="H684" s="2">
        <f>(H628/H612)*S60</f>
        <v>26178.634648547977</v>
      </c>
      <c r="I684" s="2">
        <f>(I629/I612)*S78</f>
        <v>48842.853380806286</v>
      </c>
      <c r="J684" s="2">
        <f>(J630/J612)*S79</f>
        <v>0</v>
      </c>
      <c r="K684" s="2">
        <f>(K644/K612)*S75</f>
        <v>0</v>
      </c>
      <c r="L684" s="2">
        <f>(L647/L612)*S80</f>
        <v>46743.045061745186</v>
      </c>
      <c r="M684" s="2">
        <f t="shared" si="20"/>
        <v>1101907</v>
      </c>
      <c r="N684" s="332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8">
        <v>7060</v>
      </c>
      <c r="B685" s="332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2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8">
        <v>7070</v>
      </c>
      <c r="B686" s="332" t="s">
        <v>109</v>
      </c>
      <c r="C686" s="2">
        <f>U71</f>
        <v>3876615</v>
      </c>
      <c r="D686" s="2">
        <f>(D615/D612)*U76</f>
        <v>428908.051115821</v>
      </c>
      <c r="E686" s="2">
        <f>(E623/E612)*SUM(C686:D686)</f>
        <v>298579.97564394394</v>
      </c>
      <c r="F686" s="2">
        <f>(F624/F612)*U64</f>
        <v>2613062.6146819568</v>
      </c>
      <c r="G686" s="2">
        <f>(G625/G612)*U77</f>
        <v>0</v>
      </c>
      <c r="H686" s="2">
        <f>(H628/H612)*U60</f>
        <v>45634.854473765117</v>
      </c>
      <c r="I686" s="2">
        <f>(I629/I612)*U78</f>
        <v>46418.030872539304</v>
      </c>
      <c r="J686" s="2">
        <f>(J630/J612)*U79</f>
        <v>0</v>
      </c>
      <c r="K686" s="2">
        <f>(K644/K612)*U75</f>
        <v>812860.80322003132</v>
      </c>
      <c r="L686" s="2">
        <f>(L647/L612)*U80</f>
        <v>118612.78628316369</v>
      </c>
      <c r="M686" s="2">
        <f t="shared" si="20"/>
        <v>4364077</v>
      </c>
      <c r="N686" s="332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8">
        <v>7110</v>
      </c>
      <c r="B687" s="332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0"/>
        <v>0</v>
      </c>
      <c r="N687" s="332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8">
        <v>7120</v>
      </c>
      <c r="B688" s="332" t="s">
        <v>696</v>
      </c>
      <c r="C688" s="2">
        <f>W71</f>
        <v>330679</v>
      </c>
      <c r="D688" s="2">
        <f>(D615/D612)*W76</f>
        <v>137863.30214437103</v>
      </c>
      <c r="E688" s="2">
        <f>(E623/E612)*SUM(C688:D688)</f>
        <v>32492.532847122457</v>
      </c>
      <c r="F688" s="2">
        <f>(F624/F612)*W64</f>
        <v>3558.7406588733943</v>
      </c>
      <c r="G688" s="2">
        <f>(G625/G612)*W77</f>
        <v>0</v>
      </c>
      <c r="H688" s="2">
        <f>(H628/H612)*W60</f>
        <v>3102.6529953834638</v>
      </c>
      <c r="I688" s="2">
        <f>(I629/I612)*W78</f>
        <v>14895.338265068583</v>
      </c>
      <c r="J688" s="2">
        <f>(J630/J612)*W79</f>
        <v>0</v>
      </c>
      <c r="K688" s="2">
        <f>(K644/K612)*W75</f>
        <v>99571.093725146871</v>
      </c>
      <c r="L688" s="2">
        <f>(L647/L612)*W80</f>
        <v>7882.8850697014286</v>
      </c>
      <c r="M688" s="2">
        <f t="shared" si="20"/>
        <v>299367</v>
      </c>
      <c r="N688" s="332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8">
        <v>7130</v>
      </c>
      <c r="B689" s="332" t="s">
        <v>698</v>
      </c>
      <c r="C689" s="2">
        <f>X71</f>
        <v>2225969</v>
      </c>
      <c r="D689" s="2">
        <f>(D615/D612)*X76</f>
        <v>935344.67123800027</v>
      </c>
      <c r="E689" s="2">
        <f>(E623/E612)*SUM(C689:D689)</f>
        <v>219231.19392346218</v>
      </c>
      <c r="F689" s="2">
        <f>(F624/F612)*X64</f>
        <v>159806.62882481012</v>
      </c>
      <c r="G689" s="2">
        <f>(G625/G612)*X77</f>
        <v>0</v>
      </c>
      <c r="H689" s="2">
        <f>(H628/H612)*X60</f>
        <v>12432.158182890684</v>
      </c>
      <c r="I689" s="2">
        <f>(I629/I612)*X78</f>
        <v>101207.47278552414</v>
      </c>
      <c r="J689" s="2">
        <f>(J630/J612)*X79</f>
        <v>0</v>
      </c>
      <c r="K689" s="2">
        <f>(K644/K612)*X75</f>
        <v>1262596.1639753187</v>
      </c>
      <c r="L689" s="2">
        <f>(L647/L612)*X80</f>
        <v>35041.887536407128</v>
      </c>
      <c r="M689" s="2">
        <f t="shared" si="20"/>
        <v>2725660</v>
      </c>
      <c r="N689" s="332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8">
        <v>7140</v>
      </c>
      <c r="B690" s="332" t="s">
        <v>1249</v>
      </c>
      <c r="C690" s="2">
        <f>Y71</f>
        <v>4995961</v>
      </c>
      <c r="D690" s="2">
        <f>(D615/D612)*Y76</f>
        <v>2197841.1467709765</v>
      </c>
      <c r="E690" s="2">
        <f>(E623/E612)*SUM(C690:D690)</f>
        <v>498876.73211122915</v>
      </c>
      <c r="F690" s="2">
        <f>(F624/F612)*Y64</f>
        <v>759241.65362949902</v>
      </c>
      <c r="G690" s="2">
        <f>(G625/G612)*Y77</f>
        <v>0</v>
      </c>
      <c r="H690" s="2">
        <f>(H628/H612)*Y60</f>
        <v>62203.883317167085</v>
      </c>
      <c r="I690" s="2">
        <f>(I629/I612)*Y78</f>
        <v>237805.80741789727</v>
      </c>
      <c r="J690" s="2">
        <f>(J630/J612)*Y79</f>
        <v>0</v>
      </c>
      <c r="K690" s="2">
        <f>(K644/K612)*Y75</f>
        <v>920744.5724407013</v>
      </c>
      <c r="L690" s="2">
        <f>(L647/L612)*Y80</f>
        <v>150452.25176000461</v>
      </c>
      <c r="M690" s="2">
        <f t="shared" si="20"/>
        <v>4827166</v>
      </c>
      <c r="N690" s="332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8">
        <v>7150</v>
      </c>
      <c r="B691" s="332" t="s">
        <v>701</v>
      </c>
      <c r="C691" s="2">
        <f>Z71</f>
        <v>1623647</v>
      </c>
      <c r="D691" s="2">
        <f>(D615/D612)*Z76</f>
        <v>786852.45237501559</v>
      </c>
      <c r="E691" s="2">
        <f>(E623/E612)*SUM(C691:D691)</f>
        <v>167163.63127897959</v>
      </c>
      <c r="F691" s="2">
        <f>(F624/F612)*Z64</f>
        <v>24787.260003099113</v>
      </c>
      <c r="G691" s="2">
        <f>(G625/G612)*Z77</f>
        <v>0</v>
      </c>
      <c r="H691" s="2">
        <f>(H628/H612)*Z60</f>
        <v>11570.310128617501</v>
      </c>
      <c r="I691" s="2">
        <f>(I629/I612)*Z78</f>
        <v>85157.45713556651</v>
      </c>
      <c r="J691" s="2">
        <f>(J630/J612)*Z79</f>
        <v>0</v>
      </c>
      <c r="K691" s="2">
        <f>(K644/K612)*Z75</f>
        <v>641625.06238142971</v>
      </c>
      <c r="L691" s="2">
        <f>(L647/L612)*Z80</f>
        <v>29252.893813345145</v>
      </c>
      <c r="M691" s="2">
        <f t="shared" si="20"/>
        <v>1746409</v>
      </c>
      <c r="N691" s="332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8">
        <v>7160</v>
      </c>
      <c r="B692" s="332" t="s">
        <v>703</v>
      </c>
      <c r="C692" s="2">
        <f>AA71</f>
        <v>279321</v>
      </c>
      <c r="D692" s="2">
        <f>(D615/D612)*AA76</f>
        <v>56895.965964343603</v>
      </c>
      <c r="E692" s="2">
        <f>(E623/E612)*SUM(C692:D692)</f>
        <v>23316.018127622829</v>
      </c>
      <c r="F692" s="2">
        <f>(F624/F612)*AA64</f>
        <v>17288.652057628038</v>
      </c>
      <c r="G692" s="2">
        <f>(G625/G612)*AA77</f>
        <v>0</v>
      </c>
      <c r="H692" s="2">
        <f>(H628/H612)*AA60</f>
        <v>2693.2751696037012</v>
      </c>
      <c r="I692" s="2">
        <f>(I629/I612)*AA78</f>
        <v>6177.524009156351</v>
      </c>
      <c r="J692" s="2">
        <f>(J630/J612)*AA79</f>
        <v>0</v>
      </c>
      <c r="K692" s="2">
        <f>(K644/K612)*AA75</f>
        <v>65327.693746508841</v>
      </c>
      <c r="L692" s="2">
        <f>(L647/L612)*AA80</f>
        <v>7020.6945152028338</v>
      </c>
      <c r="M692" s="2">
        <f t="shared" si="20"/>
        <v>178720</v>
      </c>
      <c r="N692" s="332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8">
        <v>7170</v>
      </c>
      <c r="B693" s="332" t="s">
        <v>115</v>
      </c>
      <c r="C693" s="2">
        <f>AB71</f>
        <v>4618423</v>
      </c>
      <c r="D693" s="2">
        <f>(D615/D612)*AB76</f>
        <v>196634.95929435233</v>
      </c>
      <c r="E693" s="2">
        <f>(E623/E612)*SUM(C693:D693)</f>
        <v>333915.26909551589</v>
      </c>
      <c r="F693" s="2">
        <f>(F624/F612)*AB64</f>
        <v>5807537.4072575672</v>
      </c>
      <c r="G693" s="2">
        <f>(G625/G612)*AB77</f>
        <v>0</v>
      </c>
      <c r="H693" s="2">
        <f>(H628/H612)*AB60</f>
        <v>29819.942677852181</v>
      </c>
      <c r="I693" s="2">
        <f>(I629/I612)*AB78</f>
        <v>21246.063881958289</v>
      </c>
      <c r="J693" s="2">
        <f>(J630/J612)*AB79</f>
        <v>0</v>
      </c>
      <c r="K693" s="2">
        <f>(K644/K612)*AB75</f>
        <v>405253.21538905095</v>
      </c>
      <c r="L693" s="2">
        <f>(L647/L612)*AB80</f>
        <v>76611.789271160771</v>
      </c>
      <c r="M693" s="2">
        <f t="shared" si="20"/>
        <v>6871019</v>
      </c>
      <c r="N693" s="332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8">
        <v>7180</v>
      </c>
      <c r="B694" s="332" t="s">
        <v>706</v>
      </c>
      <c r="C694" s="2">
        <f>AC71</f>
        <v>1496255</v>
      </c>
      <c r="D694" s="2">
        <f>(D615/D612)*AC76</f>
        <v>661962.6809313054</v>
      </c>
      <c r="E694" s="2">
        <f>(E623/E612)*SUM(C694:D694)</f>
        <v>149668.36199838604</v>
      </c>
      <c r="F694" s="2">
        <f>(F624/F612)*AC64</f>
        <v>191961.5575638554</v>
      </c>
      <c r="G694" s="2">
        <f>(G625/G612)*AC77</f>
        <v>0</v>
      </c>
      <c r="H694" s="2">
        <f>(H628/H612)*AC60</f>
        <v>21998.671585323034</v>
      </c>
      <c r="I694" s="2">
        <f>(I629/I612)*AC78</f>
        <v>71647.731732364773</v>
      </c>
      <c r="J694" s="2">
        <f>(J630/J612)*AC79</f>
        <v>0</v>
      </c>
      <c r="K694" s="2">
        <f>(K644/K612)*AC75</f>
        <v>211710.25378479852</v>
      </c>
      <c r="L694" s="2">
        <f>(L647/L612)*AC80</f>
        <v>56411.896280050845</v>
      </c>
      <c r="M694" s="2">
        <f t="shared" si="20"/>
        <v>1365361</v>
      </c>
      <c r="N694" s="332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8">
        <v>7190</v>
      </c>
      <c r="B695" s="332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2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8">
        <v>7200</v>
      </c>
      <c r="B696" s="332" t="s">
        <v>709</v>
      </c>
      <c r="C696" s="2">
        <f>AE71</f>
        <v>1218576</v>
      </c>
      <c r="D696" s="2">
        <f>(D615/D612)*AE76</f>
        <v>658523.91375763621</v>
      </c>
      <c r="E696" s="2">
        <f>(E623/E612)*SUM(C696:D696)</f>
        <v>130173.37031461346</v>
      </c>
      <c r="F696" s="2">
        <f>(F624/F612)*AE64</f>
        <v>31853.300917103974</v>
      </c>
      <c r="G696" s="2">
        <f>(G625/G612)*AE77</f>
        <v>0</v>
      </c>
      <c r="H696" s="2">
        <f>(H628/H612)*AE60</f>
        <v>21524.655155472781</v>
      </c>
      <c r="I696" s="2">
        <f>(I629/I612)*AE78</f>
        <v>71243.594647653619</v>
      </c>
      <c r="J696" s="2">
        <f>(J630/J612)*AE79</f>
        <v>0</v>
      </c>
      <c r="K696" s="2">
        <f>(K644/K612)*AE75</f>
        <v>99522.776412601073</v>
      </c>
      <c r="L696" s="2">
        <f>(L647/L612)*AE80</f>
        <v>50930.827755024067</v>
      </c>
      <c r="M696" s="2">
        <f t="shared" si="20"/>
        <v>1063772</v>
      </c>
      <c r="N696" s="332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8">
        <v>7220</v>
      </c>
      <c r="B697" s="332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2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8">
        <v>7230</v>
      </c>
      <c r="B698" s="332" t="s">
        <v>713</v>
      </c>
      <c r="C698" s="2">
        <f>AG71</f>
        <v>3854125</v>
      </c>
      <c r="D698" s="2">
        <f>(D615/D612)*AG76</f>
        <v>663994.6797157462</v>
      </c>
      <c r="E698" s="2">
        <f>(E623/E612)*SUM(C698:D698)</f>
        <v>313323.1544484098</v>
      </c>
      <c r="F698" s="2">
        <f>(F624/F612)*AG64</f>
        <v>312254.94171435444</v>
      </c>
      <c r="G698" s="2">
        <f>(G625/G612)*AG77</f>
        <v>0</v>
      </c>
      <c r="H698" s="2">
        <f>(H628/H612)*AG60</f>
        <v>59769.162563845333</v>
      </c>
      <c r="I698" s="2">
        <f>(I629/I612)*AG78</f>
        <v>71820.933340098127</v>
      </c>
      <c r="J698" s="2">
        <f>(J630/J612)*AG79</f>
        <v>0</v>
      </c>
      <c r="K698" s="2">
        <f>(K644/K612)*AG75</f>
        <v>983509.66294478287</v>
      </c>
      <c r="L698" s="2">
        <f>(L647/L612)*AG80</f>
        <v>145279.10843301305</v>
      </c>
      <c r="M698" s="2">
        <f t="shared" si="20"/>
        <v>2549952</v>
      </c>
      <c r="N698" s="332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8">
        <v>7240</v>
      </c>
      <c r="B699" s="332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2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8">
        <v>7250</v>
      </c>
      <c r="B700" s="332" t="s">
        <v>716</v>
      </c>
      <c r="C700" s="2">
        <f>AI71</f>
        <v>2678173</v>
      </c>
      <c r="D700" s="2">
        <f>(D615/D612)*AI76</f>
        <v>778255.53444084281</v>
      </c>
      <c r="E700" s="2">
        <f>(E623/E612)*SUM(C700:D700)</f>
        <v>239696.85805326738</v>
      </c>
      <c r="F700" s="2">
        <f>(F624/F612)*AI64</f>
        <v>674152.21123983967</v>
      </c>
      <c r="G700" s="2">
        <f>(G625/G612)*AI77</f>
        <v>0</v>
      </c>
      <c r="H700" s="2">
        <f>(H628/H612)*AI60</f>
        <v>46604.433534822449</v>
      </c>
      <c r="I700" s="2">
        <f>(I629/I612)*AI78</f>
        <v>84233.715227655281</v>
      </c>
      <c r="J700" s="2">
        <f>(J630/J612)*AI79</f>
        <v>0</v>
      </c>
      <c r="K700" s="2">
        <f>(K644/K612)*AI75</f>
        <v>146049.45316952217</v>
      </c>
      <c r="L700" s="2">
        <f>(L647/L612)*AI80</f>
        <v>119659.7319564834</v>
      </c>
      <c r="M700" s="2">
        <f t="shared" si="20"/>
        <v>2088652</v>
      </c>
      <c r="N700" s="332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8">
        <v>7260</v>
      </c>
      <c r="B701" s="332" t="s">
        <v>121</v>
      </c>
      <c r="C701" s="2">
        <f>AJ71</f>
        <v>0</v>
      </c>
      <c r="D701" s="2">
        <f>(D615/D612)*AJ76</f>
        <v>0</v>
      </c>
      <c r="E701" s="2">
        <f>(E623/E612)*SUM(C701:D701)</f>
        <v>0</v>
      </c>
      <c r="F701" s="2">
        <f>(F624/F612)*AJ64</f>
        <v>0</v>
      </c>
      <c r="G701" s="2">
        <f>(G625/G612)*AJ77</f>
        <v>0</v>
      </c>
      <c r="H701" s="2">
        <f>(H628/H612)*AJ60</f>
        <v>0</v>
      </c>
      <c r="I701" s="2">
        <f>(I629/I612)*AJ78</f>
        <v>0</v>
      </c>
      <c r="J701" s="2">
        <f>(J630/J612)*AJ79</f>
        <v>0</v>
      </c>
      <c r="K701" s="2">
        <f>(K644/K612)*AJ75</f>
        <v>0</v>
      </c>
      <c r="L701" s="2">
        <f>(L647/L612)*AJ80</f>
        <v>0</v>
      </c>
      <c r="M701" s="2">
        <f t="shared" si="20"/>
        <v>0</v>
      </c>
      <c r="N701" s="332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8">
        <v>7310</v>
      </c>
      <c r="B702" s="332" t="s">
        <v>719</v>
      </c>
      <c r="C702" s="2">
        <f>AK71</f>
        <v>112524</v>
      </c>
      <c r="D702" s="2">
        <f>(D615/D612)*AK76</f>
        <v>0</v>
      </c>
      <c r="E702" s="2">
        <f>(E623/E612)*SUM(C702:D702)</f>
        <v>7803.3290683816049</v>
      </c>
      <c r="F702" s="2">
        <f>(F624/F612)*AK64</f>
        <v>5672.4736126326243</v>
      </c>
      <c r="G702" s="2">
        <f>(G625/G612)*AK77</f>
        <v>0</v>
      </c>
      <c r="H702" s="2">
        <f>(H628/H612)*AK60</f>
        <v>1896.0657194010057</v>
      </c>
      <c r="I702" s="2">
        <f>(I629/I612)*AK78</f>
        <v>0</v>
      </c>
      <c r="J702" s="2">
        <f>(J630/J612)*AK79</f>
        <v>0</v>
      </c>
      <c r="K702" s="2">
        <f>(K644/K612)*AK75</f>
        <v>17401.513919885649</v>
      </c>
      <c r="L702" s="2">
        <f>(L647/L612)*AK80</f>
        <v>5234.7283665986042</v>
      </c>
      <c r="M702" s="2">
        <f t="shared" si="20"/>
        <v>38008</v>
      </c>
      <c r="N702" s="332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8">
        <v>7320</v>
      </c>
      <c r="B703" s="332" t="s">
        <v>721</v>
      </c>
      <c r="C703" s="2">
        <f>AL71</f>
        <v>61845</v>
      </c>
      <c r="D703" s="2">
        <f>(D615/D612)*AL76</f>
        <v>0</v>
      </c>
      <c r="E703" s="2">
        <f>(E623/E612)*SUM(C703:D703)</f>
        <v>4288.8351483599972</v>
      </c>
      <c r="F703" s="2">
        <f>(F624/F612)*AL64</f>
        <v>0</v>
      </c>
      <c r="G703" s="2">
        <f>(G625/G612)*AL77</f>
        <v>0</v>
      </c>
      <c r="H703" s="2">
        <f>(H628/H612)*AL60</f>
        <v>1077.3100678414805</v>
      </c>
      <c r="I703" s="2">
        <f>(I629/I612)*AL78</f>
        <v>0</v>
      </c>
      <c r="J703" s="2">
        <f>(J630/J612)*AL79</f>
        <v>0</v>
      </c>
      <c r="K703" s="2">
        <f>(K644/K612)*AL75</f>
        <v>6708.5129803229438</v>
      </c>
      <c r="L703" s="2">
        <f>(L647/L612)*AL80</f>
        <v>0</v>
      </c>
      <c r="M703" s="2">
        <f t="shared" si="20"/>
        <v>12075</v>
      </c>
      <c r="N703" s="332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8">
        <v>7330</v>
      </c>
      <c r="B704" s="332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2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8">
        <v>7340</v>
      </c>
      <c r="B705" s="332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2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8">
        <v>7350</v>
      </c>
      <c r="B706" s="332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2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8">
        <v>7380</v>
      </c>
      <c r="B707" s="332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2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8">
        <v>7390</v>
      </c>
      <c r="B708" s="332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2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8">
        <v>7400</v>
      </c>
      <c r="B709" s="332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2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8">
        <v>7410</v>
      </c>
      <c r="B710" s="332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2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8">
        <v>7420</v>
      </c>
      <c r="B711" s="332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2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8">
        <v>7430</v>
      </c>
      <c r="B712" s="332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2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8">
        <v>7490</v>
      </c>
      <c r="B713" s="332" t="s">
        <v>740</v>
      </c>
      <c r="C713" s="2">
        <f>AV71</f>
        <v>2831275</v>
      </c>
      <c r="D713" s="2">
        <f>(D615/D612)*AV76</f>
        <v>0</v>
      </c>
      <c r="E713" s="2">
        <f>(E623/E612)*SUM(C713:D713)</f>
        <v>196343.62898654622</v>
      </c>
      <c r="F713" s="2">
        <f>(F624/F612)*AV64</f>
        <v>270244.4992583897</v>
      </c>
      <c r="G713" s="2">
        <f>(G625/G612)*AV77</f>
        <v>0</v>
      </c>
      <c r="H713" s="2">
        <f>(H628/H612)*AV60</f>
        <v>8532.2957373045265</v>
      </c>
      <c r="I713" s="2">
        <f>(I629/I612)*AV78</f>
        <v>760585.99342640897</v>
      </c>
      <c r="J713" s="2">
        <f>(J630/J612)*AV79</f>
        <v>0</v>
      </c>
      <c r="K713" s="2">
        <f>(K644/K612)*AV75</f>
        <v>175417.4508098691</v>
      </c>
      <c r="L713" s="2">
        <f>(L647/L612)*AV80</f>
        <v>760759.99426579487</v>
      </c>
      <c r="M713" s="2">
        <f t="shared" si="20"/>
        <v>2171884</v>
      </c>
      <c r="N713" s="324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118071872</v>
      </c>
      <c r="D715" s="2">
        <f>SUM(D616:D647)+SUM(D668:D713)</f>
        <v>20059892</v>
      </c>
      <c r="E715" s="2">
        <f>SUM(E624:E647)+SUM(E668:E713)</f>
        <v>7657060.7697294587</v>
      </c>
      <c r="F715" s="2">
        <f>SUM(F625:F648)+SUM(F668:F713)</f>
        <v>18136406.278696205</v>
      </c>
      <c r="G715" s="2">
        <f>SUM(G626:G647)+SUM(G668:G713)</f>
        <v>4658475.0771875437</v>
      </c>
      <c r="H715" s="2">
        <f>SUM(H629:H647)+SUM(H668:H713)</f>
        <v>922349.78768316179</v>
      </c>
      <c r="I715" s="2">
        <f>SUM(I630:I647)+SUM(I668:I713)</f>
        <v>2628103.4618766936</v>
      </c>
      <c r="J715" s="2">
        <f>SUM(J631:J647)+SUM(J668:J713)</f>
        <v>0</v>
      </c>
      <c r="K715" s="2">
        <f>SUM(K668:K713)</f>
        <v>11497024.702222535</v>
      </c>
      <c r="L715" s="2">
        <f>SUM(L668:L713)</f>
        <v>2535024.9853446865</v>
      </c>
      <c r="M715" s="2">
        <f>SUM(M668:M713)</f>
        <v>58720858</v>
      </c>
      <c r="N715" s="332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118071872</v>
      </c>
      <c r="D716" s="2">
        <f>D615</f>
        <v>20059892</v>
      </c>
      <c r="E716" s="2">
        <f>E623</f>
        <v>7657060.7697294597</v>
      </c>
      <c r="F716" s="2">
        <f>F624</f>
        <v>18136406.278696205</v>
      </c>
      <c r="G716" s="2">
        <f>G625</f>
        <v>4658475.0771875437</v>
      </c>
      <c r="H716" s="2">
        <f>H628</f>
        <v>922349.78768316202</v>
      </c>
      <c r="I716" s="2">
        <f>I629</f>
        <v>2628103.4618766936</v>
      </c>
      <c r="J716" s="2">
        <f>J630</f>
        <v>0</v>
      </c>
      <c r="K716" s="2">
        <f>K644</f>
        <v>11497024.702222535</v>
      </c>
      <c r="L716" s="2">
        <f>L647</f>
        <v>2535024.9853446865</v>
      </c>
      <c r="M716" s="2">
        <f>C648</f>
        <v>58720857</v>
      </c>
      <c r="N716" s="332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6" t="str">
        <f>RIGHT(C84,3)&amp;"*"&amp;RIGHT(C83,4)&amp;"*"&amp;"A"</f>
        <v>ter*197*A</v>
      </c>
      <c r="B721" s="284">
        <f>ROUND(C166,0)</f>
        <v>177023</v>
      </c>
      <c r="C721" s="284">
        <f>ROUND(C167,0)</f>
        <v>475736</v>
      </c>
      <c r="D721" s="284">
        <f>ROUND(C168,0)</f>
        <v>2739799</v>
      </c>
      <c r="E721" s="284">
        <f>ROUND(C169,0)</f>
        <v>102761</v>
      </c>
      <c r="F721" s="284">
        <f>ROUND(C170,0)</f>
        <v>0</v>
      </c>
      <c r="G721" s="284">
        <f>ROUND(C171,0)</f>
        <v>0</v>
      </c>
      <c r="H721" s="284">
        <f>ROUND(C172+C173,0)</f>
        <v>193502</v>
      </c>
      <c r="I721" s="284">
        <f>ROUND(C176,0)</f>
        <v>1598679</v>
      </c>
      <c r="J721" s="284">
        <f>ROUND(C177,0)</f>
        <v>0</v>
      </c>
      <c r="K721" s="284">
        <f>ROUND(C180,0)</f>
        <v>183297</v>
      </c>
      <c r="L721" s="284">
        <f>ROUND(C181,0)</f>
        <v>0</v>
      </c>
      <c r="M721" s="284">
        <f>ROUND(C184,0)</f>
        <v>590762</v>
      </c>
      <c r="N721" s="284">
        <f>ROUND(C185,0)</f>
        <v>4440617</v>
      </c>
      <c r="O721" s="284">
        <f>ROUND(C186,0)</f>
        <v>0</v>
      </c>
      <c r="P721" s="284">
        <f>ROUND(C189,0)</f>
        <v>9967859</v>
      </c>
      <c r="Q721" s="284">
        <f>ROUND(C190,0)</f>
        <v>0</v>
      </c>
      <c r="R721" s="284">
        <f>ROUND(B196,0)</f>
        <v>710000</v>
      </c>
      <c r="S721" s="284">
        <f>ROUND(C196,0)</f>
        <v>0</v>
      </c>
      <c r="T721" s="284">
        <f>ROUND(D196,0)</f>
        <v>0</v>
      </c>
      <c r="U721" s="284">
        <f>ROUND(B197,0)</f>
        <v>38437221</v>
      </c>
      <c r="V721" s="284">
        <f>ROUND(C197,0)</f>
        <v>0</v>
      </c>
      <c r="W721" s="284">
        <f>ROUND(D197,0)</f>
        <v>0</v>
      </c>
      <c r="X721" s="284">
        <f>ROUND(B198,0)</f>
        <v>0</v>
      </c>
      <c r="Y721" s="284">
        <f>ROUND(C198,0)</f>
        <v>0</v>
      </c>
      <c r="Z721" s="284">
        <f>ROUND(D198,0)</f>
        <v>0</v>
      </c>
      <c r="AA721" s="284">
        <f>ROUND(B199,0)</f>
        <v>20643491</v>
      </c>
      <c r="AB721" s="284">
        <f>ROUND(C199,0)</f>
        <v>462847</v>
      </c>
      <c r="AC721" s="284">
        <f>ROUND(D199,0)</f>
        <v>0</v>
      </c>
      <c r="AD721" s="284">
        <f>ROUND(B200,0)</f>
        <v>11349474</v>
      </c>
      <c r="AE721" s="284">
        <f>ROUND(C200,0)</f>
        <v>2138790</v>
      </c>
      <c r="AF721" s="284">
        <f>ROUND(D200,0)</f>
        <v>0</v>
      </c>
      <c r="AG721" s="284">
        <f>ROUND(B201,0)</f>
        <v>6389515</v>
      </c>
      <c r="AH721" s="284">
        <f>ROUND(C201,0)</f>
        <v>1111517</v>
      </c>
      <c r="AI721" s="284">
        <f>ROUND(D201,0)</f>
        <v>0</v>
      </c>
      <c r="AJ721" s="284">
        <f>ROUND(B202,0)</f>
        <v>4521546</v>
      </c>
      <c r="AK721" s="284">
        <f>ROUND(C202,0)</f>
        <v>0</v>
      </c>
      <c r="AL721" s="284">
        <f>ROUND(D202,0)</f>
        <v>0</v>
      </c>
      <c r="AM721" s="284">
        <f>ROUND(B203,0)</f>
        <v>978434</v>
      </c>
      <c r="AN721" s="284">
        <f>ROUND(C203,0)</f>
        <v>-262135</v>
      </c>
      <c r="AO721" s="284">
        <f>ROUND(D203,0)</f>
        <v>0</v>
      </c>
      <c r="AP721" s="284">
        <f>ROUND(B204,0)</f>
        <v>86189680</v>
      </c>
      <c r="AQ721" s="284">
        <f>ROUND(C204,0)</f>
        <v>3451019</v>
      </c>
      <c r="AR721" s="284">
        <f>ROUND(D204,0)</f>
        <v>0</v>
      </c>
      <c r="AS721" s="284"/>
      <c r="AT721" s="284"/>
      <c r="AU721" s="284"/>
      <c r="AV721" s="284">
        <f>ROUND(B210,0)</f>
        <v>4246227</v>
      </c>
      <c r="AW721" s="284">
        <f>ROUND(C210,0)</f>
        <v>1736482</v>
      </c>
      <c r="AX721" s="284">
        <f>ROUND(D210,0)</f>
        <v>0</v>
      </c>
      <c r="AY721" s="284">
        <f>ROUND(B211,0)</f>
        <v>0</v>
      </c>
      <c r="AZ721" s="284">
        <f>ROUND(C211,0)</f>
        <v>0</v>
      </c>
      <c r="BA721" s="284">
        <f>ROUND(D211,0)</f>
        <v>0</v>
      </c>
      <c r="BB721" s="284">
        <f>ROUND(B212,0)</f>
        <v>1453340</v>
      </c>
      <c r="BC721" s="284">
        <f>ROUND(C212,0)</f>
        <v>1039165</v>
      </c>
      <c r="BD721" s="284">
        <f>ROUND(D212,0)</f>
        <v>0</v>
      </c>
      <c r="BE721" s="284">
        <f>ROUND(B213,0)</f>
        <v>4370958</v>
      </c>
      <c r="BF721" s="284">
        <f>ROUND(C213,0)</f>
        <v>1583011</v>
      </c>
      <c r="BG721" s="284">
        <f>ROUND(D213,0)</f>
        <v>0</v>
      </c>
      <c r="BH721" s="284">
        <f>ROUND(B214,0)</f>
        <v>1445352</v>
      </c>
      <c r="BI721" s="284">
        <f>ROUND(C214,0)</f>
        <v>794849</v>
      </c>
      <c r="BJ721" s="284">
        <f>ROUND(D214,0)</f>
        <v>0</v>
      </c>
      <c r="BK721" s="284">
        <f>ROUND(B215,0)</f>
        <v>923974</v>
      </c>
      <c r="BL721" s="284">
        <f>ROUND(C215,0)</f>
        <v>314554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12676516</v>
      </c>
      <c r="BR721" s="284">
        <f>ROUND(C217,0)</f>
        <v>5556811</v>
      </c>
      <c r="BS721" s="284">
        <f>ROUND(D217,0)</f>
        <v>0</v>
      </c>
      <c r="BT721" s="284">
        <f>ROUND(C222,0)</f>
        <v>0</v>
      </c>
      <c r="BU721" s="284">
        <f>ROUND(C223,0)</f>
        <v>214798355</v>
      </c>
      <c r="BV721" s="284">
        <f>ROUND(C224,0)</f>
        <v>4056933</v>
      </c>
      <c r="BW721" s="284">
        <f>ROUND(C225,0)</f>
        <v>7956375</v>
      </c>
      <c r="BX721" s="284">
        <f>ROUND(C226,0)</f>
        <v>15551635</v>
      </c>
      <c r="BY721" s="284">
        <f>ROUND(C227,0)</f>
        <v>0</v>
      </c>
      <c r="BZ721" s="284">
        <f>ROUND(C230,0)</f>
        <v>0</v>
      </c>
      <c r="CA721" s="284">
        <f>ROUND(C232,0)</f>
        <v>0</v>
      </c>
      <c r="CB721" s="284">
        <f>ROUND(C233,0)</f>
        <v>3067836</v>
      </c>
      <c r="CC721" s="284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6" t="str">
        <f>RIGHT(C84,3)&amp;"*"&amp;RIGHT(C83,4)&amp;"*"&amp;"A"</f>
        <v>ter*197*A</v>
      </c>
      <c r="B725" s="284">
        <f>ROUND(C112,0)</f>
        <v>0</v>
      </c>
      <c r="C725" s="284">
        <f>ROUND(C113,0)</f>
        <v>0</v>
      </c>
      <c r="D725" s="284">
        <f>ROUND(C114,0)</f>
        <v>637</v>
      </c>
      <c r="E725" s="284">
        <f>ROUND(C115,0)</f>
        <v>0</v>
      </c>
      <c r="F725" s="284">
        <f>ROUND(D112,0)</f>
        <v>0</v>
      </c>
      <c r="G725" s="284">
        <f>ROUND(D113,0)</f>
        <v>0</v>
      </c>
      <c r="H725" s="284">
        <f>ROUND(D114,0)</f>
        <v>1029</v>
      </c>
      <c r="I725" s="284">
        <f>ROUND(D115,0)</f>
        <v>0</v>
      </c>
      <c r="J725" s="284">
        <f>ROUND(C117,0)</f>
        <v>20</v>
      </c>
      <c r="K725" s="284">
        <f>ROUND(C118,0)</f>
        <v>39</v>
      </c>
      <c r="L725" s="284">
        <f>ROUND(C119,0)</f>
        <v>0</v>
      </c>
      <c r="M725" s="284">
        <f>ROUND(C120,0)</f>
        <v>15</v>
      </c>
      <c r="N725" s="284">
        <f>ROUND(C121,0)</f>
        <v>0</v>
      </c>
      <c r="O725" s="284">
        <f>ROUND(C122,0)</f>
        <v>0</v>
      </c>
      <c r="P725" s="284">
        <f>ROUND(C123,0)</f>
        <v>0</v>
      </c>
      <c r="Q725" s="284">
        <f>ROUND(C124,0)</f>
        <v>0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8</v>
      </c>
      <c r="W725" s="284">
        <f>ROUND(C130,0)</f>
        <v>0</v>
      </c>
      <c r="X725" s="284">
        <f>ROUND(B139,0)</f>
        <v>7971</v>
      </c>
      <c r="Y725" s="284">
        <f>ROUND(B140,0)</f>
        <v>26339</v>
      </c>
      <c r="Z725" s="284">
        <f>ROUND(B141,0)</f>
        <v>146209541</v>
      </c>
      <c r="AA725" s="284">
        <f>ROUND(B142,0)</f>
        <v>107712012</v>
      </c>
      <c r="AB725" s="284">
        <f>ROUND(B143,0)</f>
        <v>0</v>
      </c>
      <c r="AC725" s="284">
        <f>ROUND(C139,0)</f>
        <v>323</v>
      </c>
      <c r="AD725" s="284">
        <f>ROUND(C140,0)</f>
        <v>859</v>
      </c>
      <c r="AE725" s="284">
        <f>ROUND(C141,0)</f>
        <v>4444880</v>
      </c>
      <c r="AF725" s="284">
        <f>ROUND(C142,0)</f>
        <v>3930422</v>
      </c>
      <c r="AG725" s="284">
        <f>ROUND(C143,0)</f>
        <v>0</v>
      </c>
      <c r="AH725" s="284">
        <f>ROUND(D139,0)</f>
        <v>9494</v>
      </c>
      <c r="AI725" s="284">
        <f>ROUND(D140,0)</f>
        <v>47592</v>
      </c>
      <c r="AJ725" s="284">
        <f>ROUND(D141,0)</f>
        <v>172766053</v>
      </c>
      <c r="AK725" s="284">
        <f>ROUND(D142,0)</f>
        <v>228099141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0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0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6" t="str">
        <f>RIGHT(C84,3)&amp;"*"&amp;RIGHT(C83,4)&amp;"*"&amp;"A"</f>
        <v>ter*197*A</v>
      </c>
      <c r="B729" s="284">
        <f>ROUND(C249,0)</f>
        <v>0</v>
      </c>
      <c r="C729" s="284">
        <f>ROUND(C250,0)</f>
        <v>-267042</v>
      </c>
      <c r="D729" s="284">
        <f>ROUND(C251,0)</f>
        <v>0</v>
      </c>
      <c r="E729" s="284">
        <f>ROUND(C252,0)</f>
        <v>22626136</v>
      </c>
      <c r="F729" s="284">
        <f>ROUND(C253,0)</f>
        <v>5909556</v>
      </c>
      <c r="G729" s="284">
        <f>ROUND(C254,0)</f>
        <v>0</v>
      </c>
      <c r="H729" s="284">
        <f>ROUND(C255,0)</f>
        <v>1084535</v>
      </c>
      <c r="I729" s="284">
        <f>ROUND(C256,0)</f>
        <v>74966</v>
      </c>
      <c r="J729" s="284">
        <f>ROUND(C257,0)</f>
        <v>3807965</v>
      </c>
      <c r="K729" s="284">
        <f>ROUND(C258,0)</f>
        <v>668670</v>
      </c>
      <c r="L729" s="284">
        <f>ROUND(C261,0)</f>
        <v>0</v>
      </c>
      <c r="M729" s="284">
        <f>ROUND(C262,0)</f>
        <v>0</v>
      </c>
      <c r="N729" s="284">
        <f>ROUND(C263,0)</f>
        <v>0</v>
      </c>
      <c r="O729" s="284">
        <f>ROUND(C266,0)</f>
        <v>0</v>
      </c>
      <c r="P729" s="284">
        <f>ROUND(C267,0)</f>
        <v>3160000</v>
      </c>
      <c r="Q729" s="284">
        <f>ROUND(C268,0)</f>
        <v>710000</v>
      </c>
      <c r="R729" s="284">
        <f>ROUND(C269,0)</f>
        <v>44944891</v>
      </c>
      <c r="S729" s="284">
        <f>ROUND(C270,0)</f>
        <v>21106338</v>
      </c>
      <c r="T729" s="284">
        <f>ROUND(C271,0)</f>
        <v>0</v>
      </c>
      <c r="U729" s="284">
        <f>ROUND(C272,0)</f>
        <v>19003171</v>
      </c>
      <c r="V729" s="284">
        <f>ROUND(C273,0)</f>
        <v>0</v>
      </c>
      <c r="W729" s="284">
        <f>ROUND(C274,0)</f>
        <v>716299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448809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4666218</v>
      </c>
      <c r="AJ729" s="284">
        <f>ROUND(C306,0)</f>
        <v>3338432</v>
      </c>
      <c r="AK729" s="284">
        <f>ROUND(C307,0)</f>
        <v>226541</v>
      </c>
      <c r="AL729" s="284">
        <f>ROUND(C308,0)</f>
        <v>0</v>
      </c>
      <c r="AM729" s="284">
        <f>ROUND(C309,0)</f>
        <v>0</v>
      </c>
      <c r="AN729" s="284">
        <f>ROUND(C310,0)</f>
        <v>0</v>
      </c>
      <c r="AO729" s="284">
        <f>ROUND(C311,0)</f>
        <v>0</v>
      </c>
      <c r="AP729" s="284">
        <f>ROUND(C312,0)</f>
        <v>1204307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1362434</v>
      </c>
      <c r="AY729" s="284">
        <f>ROUND(C325,0)</f>
        <v>0</v>
      </c>
      <c r="AZ729" s="284">
        <f>ROUND(C326,0)</f>
        <v>69331239</v>
      </c>
      <c r="BA729" s="284">
        <f>ROUND(C327,0)</f>
        <v>0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484.06</v>
      </c>
      <c r="BJ729" s="284">
        <f>ROUND(C358,0)</f>
        <v>0</v>
      </c>
      <c r="BK729" s="284">
        <f>ROUND(C359,0)</f>
        <v>323420473</v>
      </c>
      <c r="BL729" s="284">
        <f>ROUND(C362,0)</f>
        <v>0</v>
      </c>
      <c r="BM729" s="284">
        <f>ROUND(C363,0)</f>
        <v>3308655</v>
      </c>
      <c r="BN729" s="284">
        <f>ROUND(C364,0)</f>
        <v>530601956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39901049</v>
      </c>
      <c r="BT729" s="284">
        <f>ROUND(C379,0)</f>
        <v>6514729</v>
      </c>
      <c r="BU729" s="284">
        <f>ROUND(C380,0)</f>
        <v>3365384</v>
      </c>
      <c r="BV729" s="284">
        <f>ROUND(C381,0)</f>
        <v>23687061</v>
      </c>
      <c r="BW729" s="284">
        <f>ROUND(C382,0)</f>
        <v>1154786</v>
      </c>
      <c r="BX729" s="284">
        <f>ROUND(C383,0)</f>
        <v>9555213</v>
      </c>
      <c r="BY729" s="284">
        <f>ROUND(C384,0)</f>
        <v>5556791</v>
      </c>
      <c r="BZ729" s="284">
        <f>ROUND(C385,0)</f>
        <v>2271361</v>
      </c>
      <c r="CA729" s="284">
        <f>ROUND(C386,0)</f>
        <v>218021</v>
      </c>
      <c r="CB729" s="284">
        <f>ROUND(C387,0)</f>
        <v>5031379</v>
      </c>
      <c r="CC729" s="284">
        <f>ROUND(C388,0)</f>
        <v>9967859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ter*197*6010*A</v>
      </c>
      <c r="B733" s="284">
        <f>ROUND(C59,0)</f>
        <v>45514</v>
      </c>
      <c r="C733" s="287">
        <f>ROUND(C60,2)</f>
        <v>65.209999999999994</v>
      </c>
      <c r="D733" s="284">
        <f>ROUND(C61,0)</f>
        <v>5618981</v>
      </c>
      <c r="E733" s="284">
        <f>ROUND(C62,0)</f>
        <v>973082</v>
      </c>
      <c r="F733" s="284">
        <f>ROUND(C63,0)</f>
        <v>540083</v>
      </c>
      <c r="G733" s="284">
        <f>ROUND(C64,0)</f>
        <v>288793</v>
      </c>
      <c r="H733" s="284">
        <f>ROUND(C65,0)</f>
        <v>50</v>
      </c>
      <c r="I733" s="284">
        <f>ROUND(C66,0)</f>
        <v>4466</v>
      </c>
      <c r="J733" s="284">
        <f>ROUND(C67,0)</f>
        <v>300847</v>
      </c>
      <c r="K733" s="284">
        <f>ROUND(C68,0)</f>
        <v>26195</v>
      </c>
      <c r="L733" s="284">
        <f>ROUND(C70,0)</f>
        <v>0</v>
      </c>
      <c r="M733" s="284">
        <f>ROUND(C71,0)</f>
        <v>8195784</v>
      </c>
      <c r="N733" s="284">
        <f>ROUND(C76,0)</f>
        <v>8412</v>
      </c>
      <c r="O733" s="284">
        <f>ROUND(C74,0)</f>
        <v>1297558</v>
      </c>
      <c r="P733" s="284">
        <f>IF(C77&gt;0,ROUND(C77,0),0)</f>
        <v>22168</v>
      </c>
      <c r="Q733" s="284">
        <f>IF(C78&gt;0,ROUND(C78,0),0)</f>
        <v>2465</v>
      </c>
      <c r="R733" s="284">
        <f>IF(C79&gt;0,ROUND(C79,0),0)</f>
        <v>93781</v>
      </c>
      <c r="S733" s="284">
        <f>IF(C80&gt;0,ROUND(C80,0),0)</f>
        <v>53</v>
      </c>
      <c r="T733" s="287">
        <f>IF(C81&gt;0,ROUND(C81,2),0)</f>
        <v>0</v>
      </c>
      <c r="U733" s="284"/>
      <c r="X733" s="284"/>
      <c r="Y733" s="284"/>
      <c r="Z733" s="284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ter*197*6030*A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>
        <f>ROUND(D62,0)</f>
        <v>0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>
        <f>ROUND(D67,0)</f>
        <v>0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>
        <f t="shared" ref="Z734:Z778" si="21">IF(M668&lt;&gt;0,ROUND(M668,0),0)</f>
        <v>5761614</v>
      </c>
    </row>
    <row r="735" spans="1:84" ht="12.65" customHeight="1" x14ac:dyDescent="0.35">
      <c r="A735" s="209" t="str">
        <f>RIGHT($C$84,3)&amp;"*"&amp;RIGHT($C$83,4)&amp;"*"&amp;E$55&amp;"*"&amp;"A"</f>
        <v>ter*197*6070*A</v>
      </c>
      <c r="B735" s="284">
        <f>ROUND(E59,0)</f>
        <v>9669</v>
      </c>
      <c r="C735" s="287">
        <f>ROUND(E60,2)</f>
        <v>54.02</v>
      </c>
      <c r="D735" s="284">
        <f>ROUND(E61,0)</f>
        <v>4481655</v>
      </c>
      <c r="E735" s="284">
        <f>ROUND(E62,0)</f>
        <v>768481</v>
      </c>
      <c r="F735" s="284">
        <f>ROUND(E63,0)</f>
        <v>0</v>
      </c>
      <c r="G735" s="284">
        <f>ROUND(E64,0)</f>
        <v>247486</v>
      </c>
      <c r="H735" s="284">
        <f>ROUND(E65,0)</f>
        <v>0</v>
      </c>
      <c r="I735" s="284">
        <f>ROUND(E66,0)</f>
        <v>830</v>
      </c>
      <c r="J735" s="284">
        <f>ROUND(E67,0)</f>
        <v>427379</v>
      </c>
      <c r="K735" s="284">
        <f>ROUND(E68,0)</f>
        <v>83514</v>
      </c>
      <c r="L735" s="284">
        <f>ROUND(E70,0)</f>
        <v>0</v>
      </c>
      <c r="M735" s="284">
        <f>ROUND(E71,0)</f>
        <v>6301267</v>
      </c>
      <c r="N735" s="284">
        <f>ROUND(E76,0)</f>
        <v>11950</v>
      </c>
      <c r="O735" s="284">
        <f>ROUND(E74,0)</f>
        <v>1742503</v>
      </c>
      <c r="P735" s="284">
        <f>IF(E77&gt;0,ROUND(E77,0),0)</f>
        <v>27206</v>
      </c>
      <c r="Q735" s="284">
        <f>IF(E78&gt;0,ROUND(E78,0),0)</f>
        <v>3501</v>
      </c>
      <c r="R735" s="284">
        <f>IF(E79&gt;0,ROUND(E79,0),0)</f>
        <v>173168</v>
      </c>
      <c r="S735" s="284">
        <f>IF(E80&gt;0,ROUND(E80,0),0)</f>
        <v>47</v>
      </c>
      <c r="T735" s="287">
        <f>IF(E81&gt;0,ROUND(E81,2),0)</f>
        <v>0</v>
      </c>
      <c r="U735" s="284"/>
      <c r="X735" s="284"/>
      <c r="Y735" s="284"/>
      <c r="Z735" s="284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ter*197*6100*A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>
        <f>ROUND(F62,0)</f>
        <v>0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>
        <f>ROUND(F67,0)</f>
        <v>0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>
        <f t="shared" si="21"/>
        <v>6270695</v>
      </c>
    </row>
    <row r="737" spans="1:26" ht="12.65" customHeight="1" x14ac:dyDescent="0.35">
      <c r="A737" s="209" t="str">
        <f>RIGHT($C$84,3)&amp;"*"&amp;RIGHT($C$83,4)&amp;"*"&amp;G$55&amp;"*"&amp;"A"</f>
        <v>ter*197*6120*A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>
        <f>ROUND(G62,0)</f>
        <v>0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>
        <f>ROUND(G67,0)</f>
        <v>0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ter*197*6140*A</v>
      </c>
      <c r="B738" s="284">
        <f>ROUND(H59,0)</f>
        <v>0</v>
      </c>
      <c r="C738" s="287">
        <f>ROUND(H60,2)</f>
        <v>0</v>
      </c>
      <c r="D738" s="284">
        <f>ROUND(H61,0)</f>
        <v>0</v>
      </c>
      <c r="E738" s="284">
        <f>ROUND(H62,0)</f>
        <v>0</v>
      </c>
      <c r="F738" s="284">
        <f>ROUND(H63,0)</f>
        <v>0</v>
      </c>
      <c r="G738" s="284">
        <f>ROUND(H64,0)</f>
        <v>0</v>
      </c>
      <c r="H738" s="284">
        <f>ROUND(H65,0)</f>
        <v>0</v>
      </c>
      <c r="I738" s="284">
        <f>ROUND(H66,0)</f>
        <v>0</v>
      </c>
      <c r="J738" s="284">
        <f>ROUND(H67,0)</f>
        <v>0</v>
      </c>
      <c r="K738" s="284">
        <f>ROUND(H68,0)</f>
        <v>0</v>
      </c>
      <c r="L738" s="284">
        <f>ROUND(H70,0)</f>
        <v>0</v>
      </c>
      <c r="M738" s="284">
        <f>ROUND(H71,0)</f>
        <v>0</v>
      </c>
      <c r="N738" s="284">
        <f>ROUND(H76,0)</f>
        <v>0</v>
      </c>
      <c r="O738" s="284">
        <f>ROUND(H74,0)</f>
        <v>0</v>
      </c>
      <c r="P738" s="284">
        <f>IF(H77&gt;0,ROUND(H77,0),0)</f>
        <v>0</v>
      </c>
      <c r="Q738" s="284">
        <f>IF(H78&gt;0,ROUND(H78,0),0)</f>
        <v>0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ter*197*6150*A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>
        <f>ROUND(I62,0)</f>
        <v>0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>
        <f>ROUND(I67,0)</f>
        <v>0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>
        <f t="shared" si="21"/>
        <v>0</v>
      </c>
    </row>
    <row r="740" spans="1:26" ht="12.65" customHeight="1" x14ac:dyDescent="0.35">
      <c r="A740" s="209" t="str">
        <f>RIGHT($C$84,3)&amp;"*"&amp;RIGHT($C$83,4)&amp;"*"&amp;J$55&amp;"*"&amp;"A"</f>
        <v>ter*197*6170*A</v>
      </c>
      <c r="B740" s="284">
        <f>ROUND(J59,0)</f>
        <v>1113</v>
      </c>
      <c r="C740" s="287">
        <f>ROUND(J60,2)</f>
        <v>3.12</v>
      </c>
      <c r="D740" s="284">
        <f>ROUND(J61,0)</f>
        <v>440333</v>
      </c>
      <c r="E740" s="284">
        <f>ROUND(J62,0)</f>
        <v>75407</v>
      </c>
      <c r="F740" s="284">
        <f>ROUND(J63,0)</f>
        <v>6975</v>
      </c>
      <c r="G740" s="284">
        <f>ROUND(J64,0)</f>
        <v>42804</v>
      </c>
      <c r="H740" s="284">
        <f>ROUND(J65,0)</f>
        <v>0</v>
      </c>
      <c r="I740" s="284">
        <f>ROUND(J66,0)</f>
        <v>60269</v>
      </c>
      <c r="J740" s="284">
        <f>ROUND(J67,0)</f>
        <v>25500</v>
      </c>
      <c r="K740" s="284">
        <f>ROUND(J68,0)</f>
        <v>0</v>
      </c>
      <c r="L740" s="284">
        <f>ROUND(J70,0)</f>
        <v>0</v>
      </c>
      <c r="M740" s="284">
        <f>ROUND(J71,0)</f>
        <v>654405</v>
      </c>
      <c r="N740" s="284">
        <f>ROUND(J76,0)</f>
        <v>713</v>
      </c>
      <c r="O740" s="284">
        <f>ROUND(J74,0)</f>
        <v>8809</v>
      </c>
      <c r="P740" s="284">
        <f>IF(J77&gt;0,ROUND(J77,0),0)</f>
        <v>3105</v>
      </c>
      <c r="Q740" s="284">
        <f>IF(J78&gt;0,ROUND(J78,0),0)</f>
        <v>209</v>
      </c>
      <c r="R740" s="284">
        <f>IF(J79&gt;0,ROUND(J79,0),0)</f>
        <v>619</v>
      </c>
      <c r="S740" s="284">
        <f>IF(J80&gt;0,ROUND(J80,0),0)</f>
        <v>3</v>
      </c>
      <c r="T740" s="287">
        <f>IF(J81&gt;0,ROUND(J81,2),0)</f>
        <v>0</v>
      </c>
      <c r="U740" s="284"/>
      <c r="X740" s="284"/>
      <c r="Y740" s="284"/>
      <c r="Z740" s="284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ter*197*6200*A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>
        <f>ROUND(K62,0)</f>
        <v>0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>
        <f>ROUND(K67,0)</f>
        <v>0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>
        <f t="shared" si="21"/>
        <v>617630</v>
      </c>
    </row>
    <row r="742" spans="1:26" ht="12.65" customHeight="1" x14ac:dyDescent="0.35">
      <c r="A742" s="209" t="str">
        <f>RIGHT($C$84,3)&amp;"*"&amp;RIGHT($C$83,4)&amp;"*"&amp;L$55&amp;"*"&amp;"A"</f>
        <v>ter*197*6210*A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>
        <f>ROUND(L62,0)</f>
        <v>0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>
        <f>ROUND(L67,0)</f>
        <v>0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ter*197*6330*A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>
        <f>ROUND(M62,0)</f>
        <v>0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>
        <f>ROUND(M67,0)</f>
        <v>0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ter*197*6400*A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>
        <f>ROUND(N62,0)</f>
        <v>0</v>
      </c>
      <c r="F744" s="284">
        <f>ROUND(N63,0)</f>
        <v>0</v>
      </c>
      <c r="G744" s="284">
        <f>ROUND(N64,0)</f>
        <v>0</v>
      </c>
      <c r="H744" s="284">
        <f>ROUND(N65,0)</f>
        <v>0</v>
      </c>
      <c r="I744" s="284">
        <f>ROUND(N66,0)</f>
        <v>0</v>
      </c>
      <c r="J744" s="284">
        <f>ROUND(N67,0)</f>
        <v>0</v>
      </c>
      <c r="K744" s="284">
        <f>ROUND(N68,0)</f>
        <v>0</v>
      </c>
      <c r="L744" s="284">
        <f>ROUND(N70,0)</f>
        <v>0</v>
      </c>
      <c r="M744" s="284">
        <f>ROUND(N71,0)</f>
        <v>0</v>
      </c>
      <c r="N744" s="284">
        <f>ROUND(N76,0)</f>
        <v>0</v>
      </c>
      <c r="O744" s="284">
        <f>ROUND(N74,0)</f>
        <v>0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ter*197*7010*A</v>
      </c>
      <c r="B745" s="284">
        <f>ROUND(O59,0)</f>
        <v>1398</v>
      </c>
      <c r="C745" s="287">
        <f>ROUND(O60,2)</f>
        <v>22.56</v>
      </c>
      <c r="D745" s="284">
        <f>ROUND(O61,0)</f>
        <v>2291421</v>
      </c>
      <c r="E745" s="284">
        <f>ROUND(O62,0)</f>
        <v>397699</v>
      </c>
      <c r="F745" s="284">
        <f>ROUND(O63,0)</f>
        <v>69710</v>
      </c>
      <c r="G745" s="284">
        <f>ROUND(O64,0)</f>
        <v>144734</v>
      </c>
      <c r="H745" s="284">
        <f>ROUND(O65,0)</f>
        <v>0</v>
      </c>
      <c r="I745" s="284">
        <f>ROUND(O66,0)</f>
        <v>500</v>
      </c>
      <c r="J745" s="284">
        <f>ROUND(O67,0)</f>
        <v>806656</v>
      </c>
      <c r="K745" s="284">
        <f>ROUND(O68,0)</f>
        <v>123</v>
      </c>
      <c r="L745" s="284">
        <f>ROUND(O70,0)</f>
        <v>0</v>
      </c>
      <c r="M745" s="284">
        <f>ROUND(O71,0)</f>
        <v>4048688</v>
      </c>
      <c r="N745" s="284">
        <f>ROUND(O76,0)</f>
        <v>22555</v>
      </c>
      <c r="O745" s="284">
        <f>ROUND(O74,0)</f>
        <v>1463278</v>
      </c>
      <c r="P745" s="284">
        <f>IF(O77&gt;0,ROUND(O77,0),0)</f>
        <v>4144</v>
      </c>
      <c r="Q745" s="284">
        <f>IF(O78&gt;0,ROUND(O78,0),0)</f>
        <v>6608</v>
      </c>
      <c r="R745" s="284">
        <f>IF(O79&gt;0,ROUND(O79,0),0)</f>
        <v>76505</v>
      </c>
      <c r="S745" s="284">
        <f>IF(O80&gt;0,ROUND(O80,0),0)</f>
        <v>18</v>
      </c>
      <c r="T745" s="287">
        <f>IF(O81&gt;0,ROUND(O81,2),0)</f>
        <v>0</v>
      </c>
      <c r="U745" s="284"/>
      <c r="X745" s="284"/>
      <c r="Y745" s="284"/>
      <c r="Z745" s="284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ter*197*7020*A</v>
      </c>
      <c r="B746" s="284">
        <f>ROUND(P59,0)</f>
        <v>463375</v>
      </c>
      <c r="C746" s="287">
        <f>ROUND(P60,2)</f>
        <v>27.68</v>
      </c>
      <c r="D746" s="284">
        <f>ROUND(P61,0)</f>
        <v>2059602</v>
      </c>
      <c r="E746" s="284">
        <f>ROUND(P62,0)</f>
        <v>356748</v>
      </c>
      <c r="F746" s="284">
        <f>ROUND(P63,0)</f>
        <v>-5902</v>
      </c>
      <c r="G746" s="284">
        <f>ROUND(P64,0)</f>
        <v>1105839</v>
      </c>
      <c r="H746" s="284">
        <f>ROUND(P65,0)</f>
        <v>0</v>
      </c>
      <c r="I746" s="284">
        <f>ROUND(P66,0)</f>
        <v>611415</v>
      </c>
      <c r="J746" s="284">
        <f>ROUND(P67,0)</f>
        <v>80791</v>
      </c>
      <c r="K746" s="284">
        <f>ROUND(P68,0)</f>
        <v>357217</v>
      </c>
      <c r="L746" s="284">
        <f>ROUND(P70,0)</f>
        <v>0</v>
      </c>
      <c r="M746" s="284">
        <f>ROUND(P71,0)</f>
        <v>5740882</v>
      </c>
      <c r="N746" s="284">
        <f>ROUND(P76,0)</f>
        <v>2259</v>
      </c>
      <c r="O746" s="284">
        <f>ROUND(P74,0)</f>
        <v>74169426</v>
      </c>
      <c r="P746" s="284">
        <f>IF(P77&gt;0,ROUND(P77,0),0)</f>
        <v>0</v>
      </c>
      <c r="Q746" s="284">
        <f>IF(P78&gt;0,ROUND(P78,0),0)</f>
        <v>662</v>
      </c>
      <c r="R746" s="284">
        <f>IF(P79&gt;0,ROUND(P79,0),0)</f>
        <v>109451</v>
      </c>
      <c r="S746" s="284">
        <f>IF(P80&gt;0,ROUND(P80,0),0)</f>
        <v>22</v>
      </c>
      <c r="T746" s="287">
        <f>IF(P81&gt;0,ROUND(P81,2),0)</f>
        <v>0</v>
      </c>
      <c r="U746" s="284"/>
      <c r="X746" s="284"/>
      <c r="Y746" s="284"/>
      <c r="Z746" s="284">
        <f t="shared" si="21"/>
        <v>5642579</v>
      </c>
    </row>
    <row r="747" spans="1:26" ht="12.65" customHeight="1" x14ac:dyDescent="0.35">
      <c r="A747" s="209" t="str">
        <f>RIGHT($C$84,3)&amp;"*"&amp;RIGHT($C$83,4)&amp;"*"&amp;Q$55&amp;"*"&amp;"A"</f>
        <v>ter*197*7030*A</v>
      </c>
      <c r="B747" s="284">
        <f>ROUND(Q59,0)</f>
        <v>350167</v>
      </c>
      <c r="C747" s="287">
        <f>ROUND(Q60,2)</f>
        <v>7.14</v>
      </c>
      <c r="D747" s="284">
        <f>ROUND(Q61,0)</f>
        <v>885713</v>
      </c>
      <c r="E747" s="284">
        <f>ROUND(Q62,0)</f>
        <v>153932</v>
      </c>
      <c r="F747" s="284">
        <f>ROUND(Q63,0)</f>
        <v>0</v>
      </c>
      <c r="G747" s="284">
        <f>ROUND(Q64,0)</f>
        <v>37113</v>
      </c>
      <c r="H747" s="284">
        <f>ROUND(Q65,0)</f>
        <v>0</v>
      </c>
      <c r="I747" s="284">
        <f>ROUND(Q66,0)</f>
        <v>3</v>
      </c>
      <c r="J747" s="284">
        <f>ROUND(Q67,0)</f>
        <v>102714</v>
      </c>
      <c r="K747" s="284">
        <f>ROUND(Q68,0)</f>
        <v>0</v>
      </c>
      <c r="L747" s="284">
        <f>ROUND(Q70,0)</f>
        <v>0</v>
      </c>
      <c r="M747" s="284">
        <f>ROUND(Q71,0)</f>
        <v>1248170</v>
      </c>
      <c r="N747" s="284">
        <f>ROUND(Q76,0)</f>
        <v>2872</v>
      </c>
      <c r="O747" s="284">
        <f>ROUND(Q74,0)</f>
        <v>14792230</v>
      </c>
      <c r="P747" s="284">
        <f>IF(Q77&gt;0,ROUND(Q77,0),0)</f>
        <v>0</v>
      </c>
      <c r="Q747" s="284">
        <f>IF(Q78&gt;0,ROUND(Q78,0),0)</f>
        <v>841</v>
      </c>
      <c r="R747" s="284">
        <f>IF(Q79&gt;0,ROUND(Q79,0),0)</f>
        <v>0</v>
      </c>
      <c r="S747" s="284">
        <f>IF(Q80&gt;0,ROUND(Q80,0),0)</f>
        <v>6</v>
      </c>
      <c r="T747" s="287">
        <f>IF(Q81&gt;0,ROUND(Q81,2),0)</f>
        <v>0</v>
      </c>
      <c r="U747" s="284"/>
      <c r="X747" s="284"/>
      <c r="Y747" s="284"/>
      <c r="Z747" s="284">
        <f t="shared" si="21"/>
        <v>6952330</v>
      </c>
    </row>
    <row r="748" spans="1:26" ht="12.65" customHeight="1" x14ac:dyDescent="0.35">
      <c r="A748" s="209" t="str">
        <f>RIGHT($C$84,3)&amp;"*"&amp;RIGHT($C$83,4)&amp;"*"&amp;R$55&amp;"*"&amp;"A"</f>
        <v>ter*197*7040*A</v>
      </c>
      <c r="B748" s="284">
        <f>ROUND(R59,0)</f>
        <v>522284</v>
      </c>
      <c r="C748" s="287">
        <f>ROUND(R60,2)</f>
        <v>1.95</v>
      </c>
      <c r="D748" s="284">
        <f>ROUND(R61,0)</f>
        <v>171420</v>
      </c>
      <c r="E748" s="284">
        <f>ROUND(R62,0)</f>
        <v>29266</v>
      </c>
      <c r="F748" s="284">
        <f>ROUND(R63,0)</f>
        <v>1105830</v>
      </c>
      <c r="G748" s="284">
        <f>ROUND(R64,0)</f>
        <v>155894</v>
      </c>
      <c r="H748" s="284">
        <f>ROUND(R65,0)</f>
        <v>0</v>
      </c>
      <c r="I748" s="284">
        <f>ROUND(R66,0)</f>
        <v>323</v>
      </c>
      <c r="J748" s="284">
        <f>ROUND(R67,0)</f>
        <v>12267</v>
      </c>
      <c r="K748" s="284">
        <f>ROUND(R68,0)</f>
        <v>100191</v>
      </c>
      <c r="L748" s="284">
        <f>ROUND(R70,0)</f>
        <v>0</v>
      </c>
      <c r="M748" s="284">
        <f>ROUND(R71,0)</f>
        <v>1576473</v>
      </c>
      <c r="N748" s="284">
        <f>ROUND(R76,0)</f>
        <v>343</v>
      </c>
      <c r="O748" s="284">
        <f>ROUND(R74,0)</f>
        <v>8792139</v>
      </c>
      <c r="P748" s="284">
        <f>IF(R77&gt;0,ROUND(R77,0),0)</f>
        <v>0</v>
      </c>
      <c r="Q748" s="284">
        <f>IF(R78&gt;0,ROUND(R78,0),0)</f>
        <v>100</v>
      </c>
      <c r="R748" s="284">
        <f>IF(R79&gt;0,ROUND(R79,0),0)</f>
        <v>0</v>
      </c>
      <c r="S748" s="284">
        <f>IF(R80&gt;0,ROUND(R80,0),0)</f>
        <v>2</v>
      </c>
      <c r="T748" s="287">
        <f>IF(R81&gt;0,ROUND(R81,2),0)</f>
        <v>0</v>
      </c>
      <c r="U748" s="284"/>
      <c r="X748" s="284"/>
      <c r="Y748" s="284"/>
      <c r="Z748" s="284">
        <f t="shared" si="21"/>
        <v>1218637</v>
      </c>
    </row>
    <row r="749" spans="1:26" ht="12.65" customHeight="1" x14ac:dyDescent="0.35">
      <c r="A749" s="209" t="str">
        <f>RIGHT($C$84,3)&amp;"*"&amp;RIGHT($C$83,4)&amp;"*"&amp;S$55&amp;"*"&amp;"A"</f>
        <v>ter*197*7050*A</v>
      </c>
      <c r="B749" s="284"/>
      <c r="C749" s="287">
        <f>ROUND(S60,2)</f>
        <v>12.15</v>
      </c>
      <c r="D749" s="284">
        <f>ROUND(S61,0)</f>
        <v>415673</v>
      </c>
      <c r="E749" s="284">
        <f>ROUND(S62,0)</f>
        <v>72010</v>
      </c>
      <c r="F749" s="284">
        <f>ROUND(S63,0)</f>
        <v>0</v>
      </c>
      <c r="G749" s="284">
        <f>ROUND(S64,0)</f>
        <v>171821</v>
      </c>
      <c r="H749" s="284">
        <f>ROUND(S65,0)</f>
        <v>0</v>
      </c>
      <c r="I749" s="284">
        <f>ROUND(S66,0)</f>
        <v>72157</v>
      </c>
      <c r="J749" s="284">
        <f>ROUND(S67,0)</f>
        <v>103251</v>
      </c>
      <c r="K749" s="284">
        <f>ROUND(S68,0)</f>
        <v>0</v>
      </c>
      <c r="L749" s="284">
        <f>ROUND(S70,0)</f>
        <v>0</v>
      </c>
      <c r="M749" s="284">
        <f>ROUND(S71,0)</f>
        <v>1381958</v>
      </c>
      <c r="N749" s="284">
        <f>ROUND(S76,0)</f>
        <v>2887</v>
      </c>
      <c r="O749" s="284">
        <f>ROUND(S74,0)</f>
        <v>0</v>
      </c>
      <c r="P749" s="284">
        <f>IF(S77&gt;0,ROUND(S77,0),0)</f>
        <v>0</v>
      </c>
      <c r="Q749" s="284">
        <f>IF(S78&gt;0,ROUND(S78,0),0)</f>
        <v>846</v>
      </c>
      <c r="R749" s="284">
        <f>IF(S79&gt;0,ROUND(S79,0),0)</f>
        <v>0</v>
      </c>
      <c r="S749" s="284">
        <f>IF(S80&gt;0,ROUND(S80,0),0)</f>
        <v>8</v>
      </c>
      <c r="T749" s="287">
        <f>IF(S81&gt;0,ROUND(S81,2),0)</f>
        <v>0</v>
      </c>
      <c r="U749" s="284"/>
      <c r="X749" s="284"/>
      <c r="Y749" s="284"/>
      <c r="Z749" s="284">
        <f t="shared" si="21"/>
        <v>853344</v>
      </c>
    </row>
    <row r="750" spans="1:26" ht="12.65" customHeight="1" x14ac:dyDescent="0.35">
      <c r="A750" s="209" t="str">
        <f>RIGHT($C$84,3)&amp;"*"&amp;RIGHT($C$83,4)&amp;"*"&amp;T$55&amp;"*"&amp;"A"</f>
        <v>ter*197*7060*A</v>
      </c>
      <c r="B750" s="284"/>
      <c r="C750" s="287">
        <f>ROUND(T60,2)</f>
        <v>0</v>
      </c>
      <c r="D750" s="284">
        <f>ROUND(T61,0)</f>
        <v>0</v>
      </c>
      <c r="E750" s="284">
        <f>ROUND(T62,0)</f>
        <v>0</v>
      </c>
      <c r="F750" s="284">
        <f>ROUND(T63,0)</f>
        <v>0</v>
      </c>
      <c r="G750" s="284">
        <f>ROUND(T64,0)</f>
        <v>0</v>
      </c>
      <c r="H750" s="284">
        <f>ROUND(T65,0)</f>
        <v>0</v>
      </c>
      <c r="I750" s="284">
        <f>ROUND(T66,0)</f>
        <v>0</v>
      </c>
      <c r="J750" s="284">
        <f>ROUND(T67,0)</f>
        <v>0</v>
      </c>
      <c r="K750" s="284">
        <f>ROUND(T68,0)</f>
        <v>0</v>
      </c>
      <c r="L750" s="284">
        <f>ROUND(T70,0)</f>
        <v>0</v>
      </c>
      <c r="M750" s="284">
        <f>ROUND(T71,0)</f>
        <v>0</v>
      </c>
      <c r="N750" s="284">
        <f>ROUND(T76,0)</f>
        <v>0</v>
      </c>
      <c r="O750" s="284">
        <f>ROUND(T74,0)</f>
        <v>0</v>
      </c>
      <c r="P750" s="284">
        <f>IF(T77&gt;0,ROUND(T77,0),0)</f>
        <v>0</v>
      </c>
      <c r="Q750" s="284">
        <f>IF(T78&gt;0,ROUND(T78,0),0)</f>
        <v>0</v>
      </c>
      <c r="R750" s="284">
        <f>IF(T79&gt;0,ROUND(T79,0),0)</f>
        <v>0</v>
      </c>
      <c r="S750" s="284">
        <f>IF(T80&gt;0,ROUND(T80,0),0)</f>
        <v>0</v>
      </c>
      <c r="T750" s="287">
        <f>IF(T81&gt;0,ROUND(T81,2),0)</f>
        <v>0</v>
      </c>
      <c r="U750" s="284"/>
      <c r="X750" s="284"/>
      <c r="Y750" s="284"/>
      <c r="Z750" s="284">
        <f t="shared" si="21"/>
        <v>1101907</v>
      </c>
    </row>
    <row r="751" spans="1:26" ht="12.65" customHeight="1" x14ac:dyDescent="0.35">
      <c r="A751" s="209" t="str">
        <f>RIGHT($C$84,3)&amp;"*"&amp;RIGHT($C$83,4)&amp;"*"&amp;U$55&amp;"*"&amp;"A"</f>
        <v>ter*197*7070*A</v>
      </c>
      <c r="B751" s="284">
        <f>ROUND(U59,0)</f>
        <v>265612</v>
      </c>
      <c r="C751" s="287">
        <f>ROUND(U60,2)</f>
        <v>21.18</v>
      </c>
      <c r="D751" s="284">
        <f>ROUND(U61,0)</f>
        <v>1524429</v>
      </c>
      <c r="E751" s="284">
        <f>ROUND(U62,0)</f>
        <v>265814</v>
      </c>
      <c r="F751" s="284">
        <f>ROUND(U63,0)</f>
        <v>37166</v>
      </c>
      <c r="G751" s="284">
        <f>ROUND(U64,0)</f>
        <v>1117553</v>
      </c>
      <c r="H751" s="284">
        <f>ROUND(U65,0)</f>
        <v>0</v>
      </c>
      <c r="I751" s="284">
        <f>ROUND(U66,0)</f>
        <v>491184</v>
      </c>
      <c r="J751" s="284">
        <f>ROUND(U67,0)</f>
        <v>98136</v>
      </c>
      <c r="K751" s="284">
        <f>ROUND(U68,0)</f>
        <v>183619</v>
      </c>
      <c r="L751" s="284">
        <f>ROUND(U70,0)</f>
        <v>0</v>
      </c>
      <c r="M751" s="284">
        <f>ROUND(U71,0)</f>
        <v>3876615</v>
      </c>
      <c r="N751" s="284">
        <f>ROUND(U76,0)</f>
        <v>2744</v>
      </c>
      <c r="O751" s="284">
        <f>ROUND(U74,0)</f>
        <v>20289917</v>
      </c>
      <c r="P751" s="284">
        <f>IF(U77&gt;0,ROUND(U77,0),0)</f>
        <v>0</v>
      </c>
      <c r="Q751" s="284">
        <f>IF(U78&gt;0,ROUND(U78,0),0)</f>
        <v>804</v>
      </c>
      <c r="R751" s="284">
        <f>IF(U79&gt;0,ROUND(U79,0),0)</f>
        <v>3449</v>
      </c>
      <c r="S751" s="284">
        <f>IF(U80&gt;0,ROUND(U80,0),0)</f>
        <v>19</v>
      </c>
      <c r="T751" s="287">
        <f>IF(U81&gt;0,ROUND(U81,2),0)</f>
        <v>0</v>
      </c>
      <c r="U751" s="284"/>
      <c r="X751" s="284"/>
      <c r="Y751" s="284"/>
      <c r="Z751" s="284">
        <f t="shared" si="21"/>
        <v>0</v>
      </c>
    </row>
    <row r="752" spans="1:26" ht="12.65" customHeight="1" x14ac:dyDescent="0.35">
      <c r="A752" s="209" t="str">
        <f>RIGHT($C$84,3)&amp;"*"&amp;RIGHT($C$83,4)&amp;"*"&amp;V$55&amp;"*"&amp;"A"</f>
        <v>ter*197*7110*A</v>
      </c>
      <c r="B752" s="284">
        <f>ROUND(V59,0)</f>
        <v>0</v>
      </c>
      <c r="C752" s="287">
        <f>ROUND(V60,2)</f>
        <v>0</v>
      </c>
      <c r="D752" s="284">
        <f>ROUND(V61,0)</f>
        <v>0</v>
      </c>
      <c r="E752" s="284">
        <f>ROUND(V62,0)</f>
        <v>0</v>
      </c>
      <c r="F752" s="284">
        <f>ROUND(V63,0)</f>
        <v>0</v>
      </c>
      <c r="G752" s="284">
        <f>ROUND(V64,0)</f>
        <v>0</v>
      </c>
      <c r="H752" s="284">
        <f>ROUND(V65,0)</f>
        <v>0</v>
      </c>
      <c r="I752" s="284">
        <f>ROUND(V66,0)</f>
        <v>0</v>
      </c>
      <c r="J752" s="284">
        <f>ROUND(V67,0)</f>
        <v>0</v>
      </c>
      <c r="K752" s="284">
        <f>ROUND(V68,0)</f>
        <v>0</v>
      </c>
      <c r="L752" s="284">
        <f>ROUND(V70,0)</f>
        <v>0</v>
      </c>
      <c r="M752" s="284">
        <f>ROUND(V71,0)</f>
        <v>0</v>
      </c>
      <c r="N752" s="284">
        <f>ROUND(V76,0)</f>
        <v>0</v>
      </c>
      <c r="O752" s="284">
        <f>ROUND(V74,0)</f>
        <v>0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>
        <f t="shared" si="21"/>
        <v>4364077</v>
      </c>
    </row>
    <row r="753" spans="1:26" ht="12.65" customHeight="1" x14ac:dyDescent="0.35">
      <c r="A753" s="209" t="str">
        <f>RIGHT($C$84,3)&amp;"*"&amp;RIGHT($C$83,4)&amp;"*"&amp;W$55&amp;"*"&amp;"A"</f>
        <v>ter*197*7120*A</v>
      </c>
      <c r="B753" s="284">
        <f>ROUND(W59,0)</f>
        <v>865</v>
      </c>
      <c r="C753" s="287">
        <f>ROUND(W60,2)</f>
        <v>1.44</v>
      </c>
      <c r="D753" s="284">
        <f>ROUND(W61,0)</f>
        <v>170297</v>
      </c>
      <c r="E753" s="284">
        <f>ROUND(W62,0)</f>
        <v>29120</v>
      </c>
      <c r="F753" s="284">
        <f>ROUND(W63,0)</f>
        <v>0</v>
      </c>
      <c r="G753" s="284">
        <f>ROUND(W64,0)</f>
        <v>1522</v>
      </c>
      <c r="H753" s="284">
        <f>ROUND(W65,0)</f>
        <v>0</v>
      </c>
      <c r="I753" s="284">
        <f>ROUND(W66,0)</f>
        <v>0</v>
      </c>
      <c r="J753" s="284">
        <f>ROUND(W67,0)</f>
        <v>31544</v>
      </c>
      <c r="K753" s="284">
        <f>ROUND(W68,0)</f>
        <v>0</v>
      </c>
      <c r="L753" s="284">
        <f>ROUND(W70,0)</f>
        <v>0</v>
      </c>
      <c r="M753" s="284">
        <f>ROUND(W71,0)</f>
        <v>330679</v>
      </c>
      <c r="N753" s="284">
        <f>ROUND(W76,0)</f>
        <v>882</v>
      </c>
      <c r="O753" s="284">
        <f>ROUND(W74,0)</f>
        <v>3592711</v>
      </c>
      <c r="P753" s="284">
        <f>IF(W77&gt;0,ROUND(W77,0),0)</f>
        <v>0</v>
      </c>
      <c r="Q753" s="284">
        <f>IF(W78&gt;0,ROUND(W78,0),0)</f>
        <v>258</v>
      </c>
      <c r="R753" s="284">
        <f>IF(W79&gt;0,ROUND(W79,0),0)</f>
        <v>5644</v>
      </c>
      <c r="S753" s="284">
        <f>IF(W80&gt;0,ROUND(W80,0),0)</f>
        <v>1</v>
      </c>
      <c r="T753" s="287">
        <f>IF(W81&gt;0,ROUND(W81,2),0)</f>
        <v>0</v>
      </c>
      <c r="U753" s="284"/>
      <c r="X753" s="284"/>
      <c r="Y753" s="284"/>
      <c r="Z753" s="284">
        <f t="shared" si="21"/>
        <v>0</v>
      </c>
    </row>
    <row r="754" spans="1:26" ht="12.65" customHeight="1" x14ac:dyDescent="0.35">
      <c r="A754" s="209" t="str">
        <f>RIGHT($C$84,3)&amp;"*"&amp;RIGHT($C$83,4)&amp;"*"&amp;X$55&amp;"*"&amp;"A"</f>
        <v>ter*197*7130*A</v>
      </c>
      <c r="B754" s="284">
        <f>ROUND(X59,0)</f>
        <v>18792</v>
      </c>
      <c r="C754" s="287">
        <f>ROUND(X60,2)</f>
        <v>5.77</v>
      </c>
      <c r="D754" s="284">
        <f>ROUND(X61,0)</f>
        <v>532634</v>
      </c>
      <c r="E754" s="284">
        <f>ROUND(X62,0)</f>
        <v>67827</v>
      </c>
      <c r="F754" s="284">
        <f>ROUND(X63,0)</f>
        <v>0</v>
      </c>
      <c r="G754" s="284">
        <f>ROUND(X64,0)</f>
        <v>68346</v>
      </c>
      <c r="H754" s="284">
        <f>ROUND(X65,0)</f>
        <v>4388</v>
      </c>
      <c r="I754" s="284">
        <f>ROUND(X66,0)</f>
        <v>457937</v>
      </c>
      <c r="J754" s="284">
        <f>ROUND(X67,0)</f>
        <v>214012</v>
      </c>
      <c r="K754" s="284">
        <f>ROUND(X68,0)</f>
        <v>596555</v>
      </c>
      <c r="L754" s="284">
        <f>ROUND(X70,0)</f>
        <v>0</v>
      </c>
      <c r="M754" s="284">
        <f>ROUND(X71,0)</f>
        <v>2225969</v>
      </c>
      <c r="N754" s="284">
        <f>ROUND(X76,0)</f>
        <v>5984</v>
      </c>
      <c r="O754" s="284">
        <f>ROUND(X74,0)</f>
        <v>60008437</v>
      </c>
      <c r="P754" s="284">
        <f>IF(X77&gt;0,ROUND(X77,0),0)</f>
        <v>0</v>
      </c>
      <c r="Q754" s="284">
        <f>IF(X78&gt;0,ROUND(X78,0),0)</f>
        <v>1753</v>
      </c>
      <c r="R754" s="284">
        <f>IF(X79&gt;0,ROUND(X79,0),0)</f>
        <v>8479</v>
      </c>
      <c r="S754" s="284">
        <f>IF(X80&gt;0,ROUND(X80,0),0)</f>
        <v>6</v>
      </c>
      <c r="T754" s="287">
        <f>IF(X81&gt;0,ROUND(X81,2),0)</f>
        <v>0</v>
      </c>
      <c r="U754" s="284"/>
      <c r="X754" s="284"/>
      <c r="Y754" s="284"/>
      <c r="Z754" s="284">
        <f t="shared" si="21"/>
        <v>299367</v>
      </c>
    </row>
    <row r="755" spans="1:26" ht="12.65" customHeight="1" x14ac:dyDescent="0.35">
      <c r="A755" s="209" t="str">
        <f>RIGHT($C$84,3)&amp;"*"&amp;RIGHT($C$83,4)&amp;"*"&amp;Y$55&amp;"*"&amp;"A"</f>
        <v>ter*197*7140*A</v>
      </c>
      <c r="B755" s="284">
        <f>ROUND(Y59,0)</f>
        <v>30604</v>
      </c>
      <c r="C755" s="287">
        <f>ROUND(Y60,2)</f>
        <v>28.87</v>
      </c>
      <c r="D755" s="284">
        <f>ROUND(Y61,0)</f>
        <v>2870280</v>
      </c>
      <c r="E755" s="284">
        <f>ROUND(Y62,0)</f>
        <v>523454</v>
      </c>
      <c r="F755" s="284">
        <f>ROUND(Y63,0)</f>
        <v>29563</v>
      </c>
      <c r="G755" s="284">
        <f>ROUND(Y64,0)</f>
        <v>324712</v>
      </c>
      <c r="H755" s="284">
        <f>ROUND(Y65,0)</f>
        <v>0</v>
      </c>
      <c r="I755" s="284">
        <f>ROUND(Y66,0)</f>
        <v>2274</v>
      </c>
      <c r="J755" s="284">
        <f>ROUND(Y67,0)</f>
        <v>502877</v>
      </c>
      <c r="K755" s="284">
        <f>ROUND(Y68,0)</f>
        <v>1259</v>
      </c>
      <c r="L755" s="284">
        <f>ROUND(Y70,0)</f>
        <v>0</v>
      </c>
      <c r="M755" s="284">
        <f>ROUND(Y71,0)</f>
        <v>4995961</v>
      </c>
      <c r="N755" s="284">
        <f>ROUND(Y76,0)</f>
        <v>14061</v>
      </c>
      <c r="O755" s="284">
        <f>ROUND(Y74,0)</f>
        <v>35166614</v>
      </c>
      <c r="P755" s="284">
        <f>IF(Y77&gt;0,ROUND(Y77,0),0)</f>
        <v>0</v>
      </c>
      <c r="Q755" s="284">
        <f>IF(Y78&gt;0,ROUND(Y78,0),0)</f>
        <v>4119</v>
      </c>
      <c r="R755" s="284">
        <f>IF(Y79&gt;0,ROUND(Y79,0),0)</f>
        <v>49699</v>
      </c>
      <c r="S755" s="284">
        <f>IF(Y80&gt;0,ROUND(Y80,0),0)</f>
        <v>24</v>
      </c>
      <c r="T755" s="287">
        <f>IF(Y81&gt;0,ROUND(Y81,2),0)</f>
        <v>0</v>
      </c>
      <c r="U755" s="284"/>
      <c r="X755" s="284"/>
      <c r="Y755" s="284"/>
      <c r="Z755" s="284">
        <f t="shared" si="21"/>
        <v>2725660</v>
      </c>
    </row>
    <row r="756" spans="1:26" ht="12.65" customHeight="1" x14ac:dyDescent="0.35">
      <c r="A756" s="209" t="str">
        <f>RIGHT($C$84,3)&amp;"*"&amp;RIGHT($C$83,4)&amp;"*"&amp;Z$55&amp;"*"&amp;"A"</f>
        <v>ter*197*7150*A</v>
      </c>
      <c r="B756" s="284">
        <f>ROUND(Z59,0)</f>
        <v>14150</v>
      </c>
      <c r="C756" s="287">
        <f>ROUND(Z60,2)</f>
        <v>5.37</v>
      </c>
      <c r="D756" s="284">
        <f>ROUND(Z61,0)</f>
        <v>514544</v>
      </c>
      <c r="E756" s="284">
        <f>ROUND(Z62,0)</f>
        <v>89001</v>
      </c>
      <c r="F756" s="284">
        <f>ROUND(Z63,0)</f>
        <v>0</v>
      </c>
      <c r="G756" s="284">
        <f>ROUND(Z64,0)</f>
        <v>10601</v>
      </c>
      <c r="H756" s="284">
        <f>ROUND(Z65,0)</f>
        <v>0</v>
      </c>
      <c r="I756" s="284">
        <f>ROUND(Z66,0)</f>
        <v>478579</v>
      </c>
      <c r="J756" s="284">
        <f>ROUND(Z67,0)</f>
        <v>180036</v>
      </c>
      <c r="K756" s="284">
        <f>ROUND(Z68,0)</f>
        <v>978</v>
      </c>
      <c r="L756" s="284">
        <f>ROUND(Z70,0)</f>
        <v>0</v>
      </c>
      <c r="M756" s="284">
        <f>ROUND(Z71,0)</f>
        <v>1623647</v>
      </c>
      <c r="N756" s="284">
        <f>ROUND(Z76,0)</f>
        <v>5034</v>
      </c>
      <c r="O756" s="284">
        <f>ROUND(Z74,0)</f>
        <v>36790050</v>
      </c>
      <c r="P756" s="284">
        <f>IF(Z77&gt;0,ROUND(Z77,0),0)</f>
        <v>0</v>
      </c>
      <c r="Q756" s="284">
        <f>IF(Z78&gt;0,ROUND(Z78,0),0)</f>
        <v>1475</v>
      </c>
      <c r="R756" s="284">
        <f>IF(Z79&gt;0,ROUND(Z79,0),0)</f>
        <v>0</v>
      </c>
      <c r="S756" s="284">
        <f>IF(Z80&gt;0,ROUND(Z80,0),0)</f>
        <v>5</v>
      </c>
      <c r="T756" s="287">
        <f>IF(Z81&gt;0,ROUND(Z81,2),0)</f>
        <v>0</v>
      </c>
      <c r="U756" s="284"/>
      <c r="X756" s="284"/>
      <c r="Y756" s="284"/>
      <c r="Z756" s="284">
        <f t="shared" si="21"/>
        <v>4827166</v>
      </c>
    </row>
    <row r="757" spans="1:26" ht="12.65" customHeight="1" x14ac:dyDescent="0.35">
      <c r="A757" s="209" t="str">
        <f>RIGHT($C$84,3)&amp;"*"&amp;RIGHT($C$83,4)&amp;"*"&amp;AA$55&amp;"*"&amp;"A"</f>
        <v>ter*197*7160*A</v>
      </c>
      <c r="B757" s="284">
        <f>ROUND(AA59,0)</f>
        <v>1929</v>
      </c>
      <c r="C757" s="287">
        <f>ROUND(AA60,2)</f>
        <v>1.25</v>
      </c>
      <c r="D757" s="284">
        <f>ROUND(AA61,0)</f>
        <v>174455</v>
      </c>
      <c r="E757" s="284">
        <f>ROUND(AA62,0)</f>
        <v>30357</v>
      </c>
      <c r="F757" s="284">
        <f>ROUND(AA63,0)</f>
        <v>0</v>
      </c>
      <c r="G757" s="284">
        <f>ROUND(AA64,0)</f>
        <v>7394</v>
      </c>
      <c r="H757" s="284">
        <f>ROUND(AA65,0)</f>
        <v>0</v>
      </c>
      <c r="I757" s="284">
        <f>ROUND(AA66,0)</f>
        <v>797</v>
      </c>
      <c r="J757" s="284">
        <f>ROUND(AA67,0)</f>
        <v>13018</v>
      </c>
      <c r="K757" s="284">
        <f>ROUND(AA68,0)</f>
        <v>0</v>
      </c>
      <c r="L757" s="284">
        <f>ROUND(AA70,0)</f>
        <v>0</v>
      </c>
      <c r="M757" s="284">
        <f>ROUND(AA71,0)</f>
        <v>279321</v>
      </c>
      <c r="N757" s="284">
        <f>ROUND(AA76,0)</f>
        <v>364</v>
      </c>
      <c r="O757" s="284">
        <f>ROUND(AA74,0)</f>
        <v>2686940</v>
      </c>
      <c r="P757" s="284">
        <f>IF(AA77&gt;0,ROUND(AA77,0),0)</f>
        <v>0</v>
      </c>
      <c r="Q757" s="284">
        <f>IF(AA78&gt;0,ROUND(AA78,0),0)</f>
        <v>107</v>
      </c>
      <c r="R757" s="284">
        <f>IF(AA79&gt;0,ROUND(AA79,0),0)</f>
        <v>1670</v>
      </c>
      <c r="S757" s="284">
        <f>IF(AA80&gt;0,ROUND(AA80,0),0)</f>
        <v>1</v>
      </c>
      <c r="T757" s="287">
        <f>IF(AA81&gt;0,ROUND(AA81,2),0)</f>
        <v>0</v>
      </c>
      <c r="U757" s="284"/>
      <c r="X757" s="284"/>
      <c r="Y757" s="284"/>
      <c r="Z757" s="284">
        <f t="shared" si="21"/>
        <v>1746409</v>
      </c>
    </row>
    <row r="758" spans="1:26" ht="12.65" customHeight="1" x14ac:dyDescent="0.35">
      <c r="A758" s="209" t="str">
        <f>RIGHT($C$84,3)&amp;"*"&amp;RIGHT($C$83,4)&amp;"*"&amp;AB$55&amp;"*"&amp;"A"</f>
        <v>ter*197*7170*A</v>
      </c>
      <c r="B758" s="284"/>
      <c r="C758" s="287">
        <f>ROUND(AB60,2)</f>
        <v>13.84</v>
      </c>
      <c r="D758" s="284">
        <f>ROUND(AB61,0)</f>
        <v>1410252</v>
      </c>
      <c r="E758" s="284">
        <f>ROUND(AB62,0)</f>
        <v>243954</v>
      </c>
      <c r="F758" s="284">
        <f>ROUND(AB63,0)</f>
        <v>0</v>
      </c>
      <c r="G758" s="284">
        <f>ROUND(AB64,0)</f>
        <v>2483764</v>
      </c>
      <c r="H758" s="284">
        <f>ROUND(AB65,0)</f>
        <v>0</v>
      </c>
      <c r="I758" s="284">
        <f>ROUND(AB66,0)</f>
        <v>109183</v>
      </c>
      <c r="J758" s="284">
        <f>ROUND(AB67,0)</f>
        <v>44991</v>
      </c>
      <c r="K758" s="284">
        <f>ROUND(AB68,0)</f>
        <v>230462</v>
      </c>
      <c r="L758" s="284">
        <f>ROUND(AB70,0)</f>
        <v>0</v>
      </c>
      <c r="M758" s="284">
        <f>ROUND(AB71,0)</f>
        <v>4618423</v>
      </c>
      <c r="N758" s="284">
        <f>ROUND(AB76,0)</f>
        <v>1258</v>
      </c>
      <c r="O758" s="284">
        <f>ROUND(AB74,0)</f>
        <v>9262500</v>
      </c>
      <c r="P758" s="284">
        <f>IF(AB77&gt;0,ROUND(AB77,0),0)</f>
        <v>0</v>
      </c>
      <c r="Q758" s="284">
        <f>IF(AB78&gt;0,ROUND(AB78,0),0)</f>
        <v>368</v>
      </c>
      <c r="R758" s="284">
        <f>IF(AB79&gt;0,ROUND(AB79,0),0)</f>
        <v>15308</v>
      </c>
      <c r="S758" s="284">
        <f>IF(AB80&gt;0,ROUND(AB80,0),0)</f>
        <v>12</v>
      </c>
      <c r="T758" s="287">
        <f>IF(AB81&gt;0,ROUND(AB81,2),0)</f>
        <v>0</v>
      </c>
      <c r="U758" s="284"/>
      <c r="X758" s="284"/>
      <c r="Y758" s="284"/>
      <c r="Z758" s="284">
        <f t="shared" si="21"/>
        <v>178720</v>
      </c>
    </row>
    <row r="759" spans="1:26" ht="12.65" customHeight="1" x14ac:dyDescent="0.35">
      <c r="A759" s="209" t="str">
        <f>RIGHT($C$84,3)&amp;"*"&amp;RIGHT($C$83,4)&amp;"*"&amp;AC$55&amp;"*"&amp;"A"</f>
        <v>ter*197*7180*A</v>
      </c>
      <c r="B759" s="284">
        <f>ROUND(AC59,0)</f>
        <v>19655</v>
      </c>
      <c r="C759" s="287">
        <f>ROUND(AC60,2)</f>
        <v>10.210000000000001</v>
      </c>
      <c r="D759" s="284">
        <f>ROUND(AC61,0)</f>
        <v>960933</v>
      </c>
      <c r="E759" s="284">
        <f>ROUND(AC62,0)</f>
        <v>166385</v>
      </c>
      <c r="F759" s="284">
        <f>ROUND(AC63,0)</f>
        <v>40758</v>
      </c>
      <c r="G759" s="284">
        <f>ROUND(AC64,0)</f>
        <v>82098</v>
      </c>
      <c r="H759" s="284">
        <f>ROUND(AC65,0)</f>
        <v>0</v>
      </c>
      <c r="I759" s="284">
        <f>ROUND(AC66,0)</f>
        <v>6953</v>
      </c>
      <c r="J759" s="284">
        <f>ROUND(AC67,0)</f>
        <v>151460</v>
      </c>
      <c r="K759" s="284">
        <f>ROUND(AC68,0)</f>
        <v>49906</v>
      </c>
      <c r="L759" s="284">
        <f>ROUND(AC70,0)</f>
        <v>0</v>
      </c>
      <c r="M759" s="284">
        <f>ROUND(AC71,0)</f>
        <v>1496255</v>
      </c>
      <c r="N759" s="284">
        <f>ROUND(AC76,0)</f>
        <v>4235</v>
      </c>
      <c r="O759" s="284">
        <f>ROUND(AC74,0)</f>
        <v>4532296</v>
      </c>
      <c r="P759" s="284">
        <f>IF(AC77&gt;0,ROUND(AC77,0),0)</f>
        <v>0</v>
      </c>
      <c r="Q759" s="284">
        <f>IF(AC78&gt;0,ROUND(AC78,0),0)</f>
        <v>1241</v>
      </c>
      <c r="R759" s="284">
        <f>IF(AC79&gt;0,ROUND(AC79,0),0)</f>
        <v>3428</v>
      </c>
      <c r="S759" s="284">
        <f>IF(AC80&gt;0,ROUND(AC80,0),0)</f>
        <v>9</v>
      </c>
      <c r="T759" s="287">
        <f>IF(AC81&gt;0,ROUND(AC81,2),0)</f>
        <v>0</v>
      </c>
      <c r="U759" s="284"/>
      <c r="X759" s="284"/>
      <c r="Y759" s="284"/>
      <c r="Z759" s="284">
        <f t="shared" si="21"/>
        <v>6871019</v>
      </c>
    </row>
    <row r="760" spans="1:26" ht="12.65" customHeight="1" x14ac:dyDescent="0.35">
      <c r="A760" s="209" t="str">
        <f>RIGHT($C$84,3)&amp;"*"&amp;RIGHT($C$83,4)&amp;"*"&amp;AD$55&amp;"*"&amp;"A"</f>
        <v>ter*197*7190*A</v>
      </c>
      <c r="B760" s="284">
        <f>ROUND(AD59,0)</f>
        <v>0</v>
      </c>
      <c r="C760" s="287">
        <f>ROUND(AD60,2)</f>
        <v>0</v>
      </c>
      <c r="D760" s="284">
        <f>ROUND(AD61,0)</f>
        <v>0</v>
      </c>
      <c r="E760" s="284">
        <f>ROUND(AD62,0)</f>
        <v>0</v>
      </c>
      <c r="F760" s="284">
        <f>ROUND(AD63,0)</f>
        <v>0</v>
      </c>
      <c r="G760" s="284">
        <f>ROUND(AD64,0)</f>
        <v>0</v>
      </c>
      <c r="H760" s="284">
        <f>ROUND(AD65,0)</f>
        <v>0</v>
      </c>
      <c r="I760" s="284">
        <f>ROUND(AD66,0)</f>
        <v>0</v>
      </c>
      <c r="J760" s="284">
        <f>ROUND(AD67,0)</f>
        <v>0</v>
      </c>
      <c r="K760" s="284">
        <f>ROUND(AD68,0)</f>
        <v>0</v>
      </c>
      <c r="L760" s="284">
        <f>ROUND(AD70,0)</f>
        <v>0</v>
      </c>
      <c r="M760" s="284">
        <f>ROUND(AD71,0)</f>
        <v>0</v>
      </c>
      <c r="N760" s="284">
        <f>ROUND(AD76,0)</f>
        <v>0</v>
      </c>
      <c r="O760" s="284">
        <f>ROUND(AD74,0)</f>
        <v>0</v>
      </c>
      <c r="P760" s="284">
        <f>IF(AD77&gt;0,ROUND(AD77,0),0)</f>
        <v>0</v>
      </c>
      <c r="Q760" s="284">
        <f>IF(AD78&gt;0,ROUND(AD78,0),0)</f>
        <v>0</v>
      </c>
      <c r="R760" s="284">
        <f>IF(AD79&gt;0,ROUND(AD79,0),0)</f>
        <v>0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>
        <f t="shared" si="21"/>
        <v>1365361</v>
      </c>
    </row>
    <row r="761" spans="1:26" ht="12.65" customHeight="1" x14ac:dyDescent="0.35">
      <c r="A761" s="209" t="str">
        <f>RIGHT($C$84,3)&amp;"*"&amp;RIGHT($C$83,4)&amp;"*"&amp;AE$55&amp;"*"&amp;"A"</f>
        <v>ter*197*7200*A</v>
      </c>
      <c r="B761" s="284">
        <f>ROUND(AE59,0)</f>
        <v>32251</v>
      </c>
      <c r="C761" s="287">
        <f>ROUND(AE60,2)</f>
        <v>9.99</v>
      </c>
      <c r="D761" s="284">
        <f>ROUND(AE61,0)</f>
        <v>748095</v>
      </c>
      <c r="E761" s="284">
        <f>ROUND(AE62,0)</f>
        <v>130249</v>
      </c>
      <c r="F761" s="284">
        <f>ROUND(AE63,0)</f>
        <v>0</v>
      </c>
      <c r="G761" s="284">
        <f>ROUND(AE64,0)</f>
        <v>13623</v>
      </c>
      <c r="H761" s="284">
        <f>ROUND(AE65,0)</f>
        <v>2185</v>
      </c>
      <c r="I761" s="284">
        <f>ROUND(AE66,0)</f>
        <v>14688</v>
      </c>
      <c r="J761" s="284">
        <f>ROUND(AE67,0)</f>
        <v>150674</v>
      </c>
      <c r="K761" s="284">
        <f>ROUND(AE68,0)</f>
        <v>88454</v>
      </c>
      <c r="L761" s="284">
        <f>ROUND(AE70,0)</f>
        <v>0</v>
      </c>
      <c r="M761" s="284">
        <f>ROUND(AE71,0)</f>
        <v>1218576</v>
      </c>
      <c r="N761" s="284">
        <f>ROUND(AE76,0)</f>
        <v>4213</v>
      </c>
      <c r="O761" s="284">
        <f>ROUND(AE74,0)</f>
        <v>3165150</v>
      </c>
      <c r="P761" s="284">
        <f>IF(AE77&gt;0,ROUND(AE77,0),0)</f>
        <v>0</v>
      </c>
      <c r="Q761" s="284">
        <f>IF(AE78&gt;0,ROUND(AE78,0),0)</f>
        <v>1234</v>
      </c>
      <c r="R761" s="284">
        <f>IF(AE79&gt;0,ROUND(AE79,0),0)</f>
        <v>7428</v>
      </c>
      <c r="S761" s="284">
        <f>IF(AE80&gt;0,ROUND(AE80,0),0)</f>
        <v>8</v>
      </c>
      <c r="T761" s="287">
        <f>IF(AE81&gt;0,ROUND(AE81,2),0)</f>
        <v>0</v>
      </c>
      <c r="U761" s="284"/>
      <c r="X761" s="284"/>
      <c r="Y761" s="284"/>
      <c r="Z761" s="284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ter*197*7220*A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>
        <f>ROUND(AF62,0)</f>
        <v>0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>
        <f>ROUND(AF67,0)</f>
        <v>0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>
        <f t="shared" si="21"/>
        <v>1063772</v>
      </c>
    </row>
    <row r="763" spans="1:26" ht="12.65" customHeight="1" x14ac:dyDescent="0.35">
      <c r="A763" s="209" t="str">
        <f>RIGHT($C$84,3)&amp;"*"&amp;RIGHT($C$83,4)&amp;"*"&amp;AG$55&amp;"*"&amp;"A"</f>
        <v>ter*197*7230*A</v>
      </c>
      <c r="B763" s="284">
        <f>ROUND(AG59,0)</f>
        <v>20552</v>
      </c>
      <c r="C763" s="287">
        <f>ROUND(AG60,2)</f>
        <v>27.74</v>
      </c>
      <c r="D763" s="284">
        <f>ROUND(AG61,0)</f>
        <v>2768623</v>
      </c>
      <c r="E763" s="284">
        <f>ROUND(AG62,0)</f>
        <v>478577</v>
      </c>
      <c r="F763" s="284">
        <f>ROUND(AG63,0)</f>
        <v>107331</v>
      </c>
      <c r="G763" s="284">
        <f>ROUND(AG64,0)</f>
        <v>133545</v>
      </c>
      <c r="H763" s="284">
        <f>ROUND(AG65,0)</f>
        <v>0</v>
      </c>
      <c r="I763" s="284">
        <f>ROUND(AG66,0)</f>
        <v>40734</v>
      </c>
      <c r="J763" s="284">
        <f>ROUND(AG67,0)</f>
        <v>151925</v>
      </c>
      <c r="K763" s="284">
        <f>ROUND(AG68,0)</f>
        <v>6573</v>
      </c>
      <c r="L763" s="284">
        <f>ROUND(AG70,0)</f>
        <v>0</v>
      </c>
      <c r="M763" s="284">
        <f>ROUND(AG71,0)</f>
        <v>3854125</v>
      </c>
      <c r="N763" s="284">
        <f>ROUND(AG76,0)</f>
        <v>4248</v>
      </c>
      <c r="O763" s="284">
        <f>ROUND(AG74,0)</f>
        <v>44129477</v>
      </c>
      <c r="P763" s="284">
        <f>IF(AG77&gt;0,ROUND(AG77,0),0)</f>
        <v>0</v>
      </c>
      <c r="Q763" s="284">
        <f>IF(AG78&gt;0,ROUND(AG78,0),0)</f>
        <v>1244</v>
      </c>
      <c r="R763" s="284">
        <f>IF(AG79&gt;0,ROUND(AG79,0),0)</f>
        <v>62841</v>
      </c>
      <c r="S763" s="284">
        <f>IF(AG80&gt;0,ROUND(AG80,0),0)</f>
        <v>24</v>
      </c>
      <c r="T763" s="287">
        <f>IF(AG81&gt;0,ROUND(AG81,2),0)</f>
        <v>0</v>
      </c>
      <c r="U763" s="284"/>
      <c r="X763" s="284"/>
      <c r="Y763" s="284"/>
      <c r="Z763" s="284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ter*197*7240*A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>
        <f>ROUND(AH62,0)</f>
        <v>0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>
        <f>ROUND(AH67,0)</f>
        <v>0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>
        <f t="shared" si="21"/>
        <v>2549952</v>
      </c>
    </row>
    <row r="765" spans="1:26" ht="12.65" customHeight="1" x14ac:dyDescent="0.35">
      <c r="A765" s="209" t="str">
        <f>RIGHT($C$84,3)&amp;"*"&amp;RIGHT($C$83,4)&amp;"*"&amp;AI$55&amp;"*"&amp;"A"</f>
        <v>ter*197*7250*A</v>
      </c>
      <c r="B765" s="284">
        <f>ROUND(AI59,0)</f>
        <v>10016</v>
      </c>
      <c r="C765" s="287">
        <f>ROUND(AI60,2)</f>
        <v>21.63</v>
      </c>
      <c r="D765" s="284">
        <f>ROUND(AI61,0)</f>
        <v>1852746</v>
      </c>
      <c r="E765" s="284">
        <f>ROUND(AI62,0)</f>
        <v>320784</v>
      </c>
      <c r="F765" s="284">
        <f>ROUND(AI63,0)</f>
        <v>0</v>
      </c>
      <c r="G765" s="284">
        <f>ROUND(AI64,0)</f>
        <v>288321</v>
      </c>
      <c r="H765" s="284">
        <f>ROUND(AI65,0)</f>
        <v>0</v>
      </c>
      <c r="I765" s="284">
        <f>ROUND(AI66,0)</f>
        <v>679</v>
      </c>
      <c r="J765" s="284">
        <f>ROUND(AI67,0)</f>
        <v>178069</v>
      </c>
      <c r="K765" s="284">
        <f>ROUND(AI68,0)</f>
        <v>2</v>
      </c>
      <c r="L765" s="284">
        <f>ROUND(AI70,0)</f>
        <v>0</v>
      </c>
      <c r="M765" s="284">
        <f>ROUND(AI71,0)</f>
        <v>2678173</v>
      </c>
      <c r="N765" s="284">
        <f>ROUND(AI76,0)</f>
        <v>4979</v>
      </c>
      <c r="O765" s="284">
        <f>ROUND(AI74,0)</f>
        <v>7001245</v>
      </c>
      <c r="P765" s="284">
        <f>IF(AI77&gt;0,ROUND(AI77,0),0)</f>
        <v>0</v>
      </c>
      <c r="Q765" s="284">
        <f>IF(AI78&gt;0,ROUND(AI78,0),0)</f>
        <v>1459</v>
      </c>
      <c r="R765" s="284">
        <f>IF(AI79&gt;0,ROUND(AI79,0),0)</f>
        <v>44591</v>
      </c>
      <c r="S765" s="284">
        <f>IF(AI80&gt;0,ROUND(AI80,0),0)</f>
        <v>19</v>
      </c>
      <c r="T765" s="287">
        <f>IF(AI81&gt;0,ROUND(AI81,2),0)</f>
        <v>0</v>
      </c>
      <c r="U765" s="284"/>
      <c r="X765" s="284"/>
      <c r="Y765" s="284"/>
      <c r="Z765" s="284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ter*197*7260*A</v>
      </c>
      <c r="B766" s="284">
        <f>ROUND(AJ59,0)</f>
        <v>0</v>
      </c>
      <c r="C766" s="287">
        <f>ROUND(AJ60,2)</f>
        <v>0</v>
      </c>
      <c r="D766" s="284">
        <f>ROUND(AJ61,0)</f>
        <v>0</v>
      </c>
      <c r="E766" s="284">
        <f>ROUND(AJ62,0)</f>
        <v>0</v>
      </c>
      <c r="F766" s="284">
        <f>ROUND(AJ63,0)</f>
        <v>0</v>
      </c>
      <c r="G766" s="284">
        <f>ROUND(AJ64,0)</f>
        <v>0</v>
      </c>
      <c r="H766" s="284">
        <f>ROUND(AJ65,0)</f>
        <v>0</v>
      </c>
      <c r="I766" s="284">
        <f>ROUND(AJ66,0)</f>
        <v>0</v>
      </c>
      <c r="J766" s="284">
        <f>ROUND(AJ67,0)</f>
        <v>0</v>
      </c>
      <c r="K766" s="284">
        <f>ROUND(AJ68,0)</f>
        <v>0</v>
      </c>
      <c r="L766" s="284">
        <f>ROUND(AJ70,0)</f>
        <v>0</v>
      </c>
      <c r="M766" s="284">
        <f>ROUND(AJ71,0)</f>
        <v>0</v>
      </c>
      <c r="N766" s="284">
        <f>ROUND(AJ76,0)</f>
        <v>0</v>
      </c>
      <c r="O766" s="284">
        <f>ROUND(AJ74,0)</f>
        <v>0</v>
      </c>
      <c r="P766" s="284">
        <f>IF(AJ77&gt;0,ROUND(AJ77,0),0)</f>
        <v>0</v>
      </c>
      <c r="Q766" s="284">
        <f>IF(AJ78&gt;0,ROUND(AJ78,0),0)</f>
        <v>0</v>
      </c>
      <c r="R766" s="284">
        <f>IF(AJ79&gt;0,ROUND(AJ79,0),0)</f>
        <v>0</v>
      </c>
      <c r="S766" s="284">
        <f>IF(AJ80&gt;0,ROUND(AJ80,0),0)</f>
        <v>0</v>
      </c>
      <c r="T766" s="287">
        <f>IF(AJ81&gt;0,ROUND(AJ81,2),0)</f>
        <v>0</v>
      </c>
      <c r="U766" s="284"/>
      <c r="X766" s="284"/>
      <c r="Y766" s="284"/>
      <c r="Z766" s="284">
        <f t="shared" si="21"/>
        <v>2088652</v>
      </c>
    </row>
    <row r="767" spans="1:26" ht="12.65" customHeight="1" x14ac:dyDescent="0.35">
      <c r="A767" s="209" t="str">
        <f>RIGHT($C$84,3)&amp;"*"&amp;RIGHT($C$83,4)&amp;"*"&amp;AK$55&amp;"*"&amp;"A"</f>
        <v>ter*197*7310*A</v>
      </c>
      <c r="B767" s="284">
        <f>ROUND(AK59,0)</f>
        <v>4806</v>
      </c>
      <c r="C767" s="287">
        <f>ROUND(AK60,2)</f>
        <v>0.88</v>
      </c>
      <c r="D767" s="284">
        <f>ROUND(AK61,0)</f>
        <v>93389</v>
      </c>
      <c r="E767" s="284">
        <f>ROUND(AK62,0)</f>
        <v>16421</v>
      </c>
      <c r="F767" s="284">
        <f>ROUND(AK63,0)</f>
        <v>0</v>
      </c>
      <c r="G767" s="284">
        <f>ROUND(AK64,0)</f>
        <v>2426</v>
      </c>
      <c r="H767" s="284">
        <f>ROUND(AK65,0)</f>
        <v>0</v>
      </c>
      <c r="I767" s="284">
        <f>ROUND(AK66,0)</f>
        <v>0</v>
      </c>
      <c r="J767" s="284">
        <f>ROUND(AK67,0)</f>
        <v>0</v>
      </c>
      <c r="K767" s="284">
        <f>ROUND(AK68,0)</f>
        <v>4</v>
      </c>
      <c r="L767" s="284">
        <f>ROUND(AK70,0)</f>
        <v>0</v>
      </c>
      <c r="M767" s="284">
        <f>ROUND(AK71,0)</f>
        <v>112524</v>
      </c>
      <c r="N767" s="284">
        <f>ROUND(AK76,0)</f>
        <v>0</v>
      </c>
      <c r="O767" s="284">
        <f>ROUND(AK74,0)</f>
        <v>451985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1</v>
      </c>
      <c r="T767" s="287">
        <f>IF(AK81&gt;0,ROUND(AK81,2),0)</f>
        <v>0</v>
      </c>
      <c r="U767" s="284"/>
      <c r="X767" s="284"/>
      <c r="Y767" s="284"/>
      <c r="Z767" s="284">
        <f t="shared" si="21"/>
        <v>0</v>
      </c>
    </row>
    <row r="768" spans="1:26" ht="12.65" customHeight="1" x14ac:dyDescent="0.35">
      <c r="A768" s="209" t="str">
        <f>RIGHT($C$84,3)&amp;"*"&amp;RIGHT($C$83,4)&amp;"*"&amp;AL$55&amp;"*"&amp;"A"</f>
        <v>ter*197*7320*A</v>
      </c>
      <c r="B768" s="284">
        <f>ROUND(AL59,0)</f>
        <v>876</v>
      </c>
      <c r="C768" s="287">
        <f>ROUND(AL60,2)</f>
        <v>0.5</v>
      </c>
      <c r="D768" s="284">
        <f>ROUND(AL61,0)</f>
        <v>0</v>
      </c>
      <c r="E768" s="284">
        <f>ROUND(AL62,0)</f>
        <v>0</v>
      </c>
      <c r="F768" s="284">
        <f>ROUND(AL63,0)</f>
        <v>0</v>
      </c>
      <c r="G768" s="284">
        <f>ROUND(AL64,0)</f>
        <v>0</v>
      </c>
      <c r="H768" s="284">
        <f>ROUND(AL65,0)</f>
        <v>0</v>
      </c>
      <c r="I768" s="284">
        <f>ROUND(AL66,0)</f>
        <v>0</v>
      </c>
      <c r="J768" s="284">
        <f>ROUND(AL67,0)</f>
        <v>0</v>
      </c>
      <c r="K768" s="284">
        <f>ROUND(AL68,0)</f>
        <v>0</v>
      </c>
      <c r="L768" s="284">
        <f>ROUND(AL70,0)</f>
        <v>0</v>
      </c>
      <c r="M768" s="284">
        <f>ROUND(AL71,0)</f>
        <v>61845</v>
      </c>
      <c r="N768" s="284">
        <f>ROUND(AL76,0)</f>
        <v>0</v>
      </c>
      <c r="O768" s="284">
        <f>ROUND(AL74,0)</f>
        <v>283661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>
        <f t="shared" si="21"/>
        <v>38008</v>
      </c>
    </row>
    <row r="769" spans="1:26" ht="12.65" customHeight="1" x14ac:dyDescent="0.35">
      <c r="A769" s="209" t="str">
        <f>RIGHT($C$84,3)&amp;"*"&amp;RIGHT($C$83,4)&amp;"*"&amp;AM$55&amp;"*"&amp;"A"</f>
        <v>ter*197*7330*A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>
        <f>ROUND(AM62,0)</f>
        <v>0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>
        <f>ROUND(AM67,0)</f>
        <v>0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>
        <f t="shared" si="21"/>
        <v>12075</v>
      </c>
    </row>
    <row r="770" spans="1:26" ht="12.65" customHeight="1" x14ac:dyDescent="0.35">
      <c r="A770" s="209" t="str">
        <f>RIGHT($C$84,3)&amp;"*"&amp;RIGHT($C$83,4)&amp;"*"&amp;AN$55&amp;"*"&amp;"A"</f>
        <v>ter*197*7340*A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>
        <f>ROUND(AN62,0)</f>
        <v>0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>
        <f>ROUND(AN67,0)</f>
        <v>0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ter*197*7350*A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>
        <f>ROUND(AO62,0)</f>
        <v>0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>
        <f>ROUND(AO67,0)</f>
        <v>0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0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ter*197*7380*A</v>
      </c>
      <c r="B772" s="284">
        <f>ROUND(AP59,0)</f>
        <v>0</v>
      </c>
      <c r="C772" s="287">
        <f>ROUND(AP60,2)</f>
        <v>0</v>
      </c>
      <c r="D772" s="284">
        <f>ROUND(AP61,0)</f>
        <v>0</v>
      </c>
      <c r="E772" s="284">
        <f>ROUND(AP62,0)</f>
        <v>0</v>
      </c>
      <c r="F772" s="284">
        <f>ROUND(AP63,0)</f>
        <v>0</v>
      </c>
      <c r="G772" s="284">
        <f>ROUND(AP64,0)</f>
        <v>0</v>
      </c>
      <c r="H772" s="284">
        <f>ROUND(AP65,0)</f>
        <v>0</v>
      </c>
      <c r="I772" s="284">
        <f>ROUND(AP66,0)</f>
        <v>0</v>
      </c>
      <c r="J772" s="284">
        <f>ROUND(AP67,0)</f>
        <v>0</v>
      </c>
      <c r="K772" s="284">
        <f>ROUND(AP68,0)</f>
        <v>0</v>
      </c>
      <c r="L772" s="284">
        <f>ROUND(AP70,0)</f>
        <v>0</v>
      </c>
      <c r="M772" s="284">
        <f>ROUND(AP71,0)</f>
        <v>0</v>
      </c>
      <c r="N772" s="284">
        <f>ROUND(AP76,0)</f>
        <v>0</v>
      </c>
      <c r="O772" s="284">
        <f>ROUND(AP74,0)</f>
        <v>0</v>
      </c>
      <c r="P772" s="284">
        <f>IF(AP77&gt;0,ROUND(AP77,0),0)</f>
        <v>0</v>
      </c>
      <c r="Q772" s="284">
        <f>IF(AP78&gt;0,ROUND(AP78,0),0)</f>
        <v>0</v>
      </c>
      <c r="R772" s="284">
        <f>IF(AP79&gt;0,ROUND(AP79,0),0)</f>
        <v>0</v>
      </c>
      <c r="S772" s="284">
        <f>IF(AP80&gt;0,ROUND(AP80,0),0)</f>
        <v>0</v>
      </c>
      <c r="T772" s="287">
        <f>IF(AP81&gt;0,ROUND(AP81,2),0)</f>
        <v>0</v>
      </c>
      <c r="U772" s="284"/>
      <c r="X772" s="284"/>
      <c r="Y772" s="284"/>
      <c r="Z772" s="284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ter*197*7390*A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>
        <f>ROUND(AQ62,0)</f>
        <v>0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>
        <f>ROUND(AQ67,0)</f>
        <v>0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ter*197*7400*A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>
        <f>ROUND(AR62,0)</f>
        <v>0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0</v>
      </c>
      <c r="J774" s="284">
        <f>ROUND(AR67,0)</f>
        <v>0</v>
      </c>
      <c r="K774" s="284">
        <f>ROUND(AR68,0)</f>
        <v>0</v>
      </c>
      <c r="L774" s="284">
        <f>ROUND(AR70,0)</f>
        <v>0</v>
      </c>
      <c r="M774" s="284">
        <f>ROUND(AR71,0)</f>
        <v>0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ter*197*7410*A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>
        <f>ROUND(AS62,0)</f>
        <v>0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>
        <f>ROUND(AS67,0)</f>
        <v>0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ter*197*7420*A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>
        <f>ROUND(AT62,0)</f>
        <v>0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>
        <f>ROUND(AT67,0)</f>
        <v>0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ter*197*7430*A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>
        <f>ROUND(AU62,0)</f>
        <v>0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>
        <f>ROUND(AU67,0)</f>
        <v>0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ter*197*7490*A</v>
      </c>
      <c r="B778" s="284"/>
      <c r="C778" s="287">
        <f>ROUND(AV60,2)</f>
        <v>3.96</v>
      </c>
      <c r="D778" s="284">
        <f>ROUND(AV61,0)</f>
        <v>300604</v>
      </c>
      <c r="E778" s="284">
        <f>ROUND(AV62,0)</f>
        <v>51872</v>
      </c>
      <c r="F778" s="284">
        <f>ROUND(AV63,0)</f>
        <v>1359600</v>
      </c>
      <c r="G778" s="284">
        <f>ROUND(AV64,0)</f>
        <v>115578</v>
      </c>
      <c r="H778" s="284">
        <f>ROUND(AV65,0)</f>
        <v>798</v>
      </c>
      <c r="I778" s="284">
        <f>ROUND(AV66,0)</f>
        <v>984542</v>
      </c>
      <c r="J778" s="284">
        <f>ROUND(AV67,0)</f>
        <v>0</v>
      </c>
      <c r="K778" s="284">
        <f>ROUND(AV68,0)</f>
        <v>11835</v>
      </c>
      <c r="L778" s="284">
        <f>ROUND(AV70,0)</f>
        <v>0</v>
      </c>
      <c r="M778" s="284">
        <f>ROUND(AV71,0)</f>
        <v>2831275</v>
      </c>
      <c r="N778" s="284">
        <f>ROUND(AV76,0)</f>
        <v>0</v>
      </c>
      <c r="O778" s="284">
        <f>ROUND(AV74,0)</f>
        <v>10114646</v>
      </c>
      <c r="P778" s="284">
        <f>IF(AV77&gt;0,ROUND(AV77,0),0)</f>
        <v>0</v>
      </c>
      <c r="Q778" s="284">
        <f>IF(AV78&gt;0,ROUND(AV78,0),0)</f>
        <v>13174</v>
      </c>
      <c r="R778" s="284">
        <f>IF(AV79&gt;0,ROUND(AV79,0),0)</f>
        <v>1832</v>
      </c>
      <c r="S778" s="284">
        <f>IF(AV80&gt;0,ROUND(AV80,0),0)</f>
        <v>124</v>
      </c>
      <c r="T778" s="287">
        <f>IF(AV81&gt;0,ROUND(AV81,2),0)</f>
        <v>0</v>
      </c>
      <c r="U778" s="284"/>
      <c r="X778" s="284"/>
      <c r="Y778" s="284"/>
      <c r="Z778" s="284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ter*197*8200*A</v>
      </c>
      <c r="B779" s="284"/>
      <c r="C779" s="287">
        <f>ROUND(AW60,2)</f>
        <v>0</v>
      </c>
      <c r="D779" s="284">
        <f>ROUND(AW61,0)</f>
        <v>0</v>
      </c>
      <c r="E779" s="284">
        <f>ROUND(AW62,0)</f>
        <v>0</v>
      </c>
      <c r="F779" s="284">
        <f>ROUND(AW63,0)</f>
        <v>0</v>
      </c>
      <c r="G779" s="284">
        <f>ROUND(AW64,0)</f>
        <v>0</v>
      </c>
      <c r="H779" s="284">
        <f>ROUND(AW65,0)</f>
        <v>0</v>
      </c>
      <c r="I779" s="284">
        <f>ROUND(AW66,0)</f>
        <v>0</v>
      </c>
      <c r="J779" s="284">
        <f>ROUND(AW67,0)</f>
        <v>0</v>
      </c>
      <c r="K779" s="284">
        <f>ROUND(AW68,0)</f>
        <v>0</v>
      </c>
      <c r="L779" s="284">
        <f>ROUND(AW70,0)</f>
        <v>0</v>
      </c>
      <c r="M779" s="284">
        <f>ROUND(AW71,0)</f>
        <v>0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5">
      <c r="A780" s="209" t="str">
        <f>RIGHT($C$84,3)&amp;"*"&amp;RIGHT($C$83,4)&amp;"*"&amp;AX$55&amp;"*"&amp;"A"</f>
        <v>ter*197*8310*A</v>
      </c>
      <c r="B780" s="284"/>
      <c r="C780" s="287">
        <f>ROUND(AX60,2)</f>
        <v>0</v>
      </c>
      <c r="D780" s="284">
        <f>ROUND(AX61,0)</f>
        <v>0</v>
      </c>
      <c r="E780" s="284">
        <f>ROUND(AX62,0)</f>
        <v>0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>
        <f>ROUND(AX67,0)</f>
        <v>0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5">
      <c r="A781" s="209" t="str">
        <f>RIGHT($C$84,3)&amp;"*"&amp;RIGHT($C$83,4)&amp;"*"&amp;AY$55&amp;"*"&amp;"A"</f>
        <v>ter*197*8320*A</v>
      </c>
      <c r="B781" s="284">
        <f>ROUND(AY59,0)</f>
        <v>56623</v>
      </c>
      <c r="C781" s="287">
        <f>ROUND(AY60,2)</f>
        <v>18.72</v>
      </c>
      <c r="D781" s="284">
        <f>ROUND(AY61,0)</f>
        <v>917259</v>
      </c>
      <c r="E781" s="284">
        <f>ROUND(AY62,0)</f>
        <v>158971</v>
      </c>
      <c r="F781" s="284">
        <f>ROUND(AY63,0)</f>
        <v>0</v>
      </c>
      <c r="G781" s="284">
        <f>ROUND(AY64,0)</f>
        <v>666953</v>
      </c>
      <c r="H781" s="284">
        <f>ROUND(AY65,0)</f>
        <v>0</v>
      </c>
      <c r="I781" s="284">
        <f>ROUND(AY66,0)</f>
        <v>5156</v>
      </c>
      <c r="J781" s="284">
        <f>ROUND(AY67,0)</f>
        <v>195951</v>
      </c>
      <c r="K781" s="284">
        <f>ROUND(AY68,0)</f>
        <v>0</v>
      </c>
      <c r="L781" s="284">
        <f>ROUND(AY70,0)</f>
        <v>0</v>
      </c>
      <c r="M781" s="284">
        <f>ROUND(AY71,0)</f>
        <v>2041623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5">
      <c r="A782" s="209" t="str">
        <f>RIGHT($C$84,3)&amp;"*"&amp;RIGHT($C$83,4)&amp;"*"&amp;AZ$55&amp;"*"&amp;"A"</f>
        <v>ter*197*8330*A</v>
      </c>
      <c r="B782" s="284">
        <f>ROUND(AZ59,0)</f>
        <v>0</v>
      </c>
      <c r="C782" s="287">
        <f>ROUND(AZ60,2)</f>
        <v>0</v>
      </c>
      <c r="D782" s="284">
        <f>ROUND(AZ61,0)</f>
        <v>0</v>
      </c>
      <c r="E782" s="284">
        <f>ROUND(AZ62,0)</f>
        <v>0</v>
      </c>
      <c r="F782" s="284">
        <f>ROUND(AZ63,0)</f>
        <v>0</v>
      </c>
      <c r="G782" s="284">
        <f>ROUND(AZ64,0)</f>
        <v>0</v>
      </c>
      <c r="H782" s="284">
        <f>ROUND(AZ65,0)</f>
        <v>0</v>
      </c>
      <c r="I782" s="284">
        <f>ROUND(AZ66,0)</f>
        <v>0</v>
      </c>
      <c r="J782" s="284">
        <f>ROUND(AZ67,0)</f>
        <v>0</v>
      </c>
      <c r="K782" s="284">
        <f>ROUND(AZ68,0)</f>
        <v>0</v>
      </c>
      <c r="L782" s="284">
        <f>ROUND(AZ70,0)</f>
        <v>0</v>
      </c>
      <c r="M782" s="284">
        <f>ROUND(AZ71,0)</f>
        <v>0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5">
      <c r="A783" s="209" t="str">
        <f>RIGHT($C$84,3)&amp;"*"&amp;RIGHT($C$83,4)&amp;"*"&amp;BA$55&amp;"*"&amp;"A"</f>
        <v>ter*197*8350*A</v>
      </c>
      <c r="B783" s="284">
        <f>ROUND(BA59,0)</f>
        <v>0</v>
      </c>
      <c r="C783" s="287">
        <f>ROUND(BA60,2)</f>
        <v>0</v>
      </c>
      <c r="D783" s="284">
        <f>ROUND(BA61,0)</f>
        <v>0</v>
      </c>
      <c r="E783" s="284">
        <f>ROUND(BA62,0)</f>
        <v>0</v>
      </c>
      <c r="F783" s="284">
        <f>ROUND(BA63,0)</f>
        <v>0</v>
      </c>
      <c r="G783" s="284">
        <f>ROUND(BA64,0)</f>
        <v>0</v>
      </c>
      <c r="H783" s="284">
        <f>ROUND(BA65,0)</f>
        <v>0</v>
      </c>
      <c r="I783" s="284">
        <f>ROUND(BA66,0)</f>
        <v>0</v>
      </c>
      <c r="J783" s="284">
        <f>ROUND(BA67,0)</f>
        <v>0</v>
      </c>
      <c r="K783" s="284">
        <f>ROUND(BA68,0)</f>
        <v>0</v>
      </c>
      <c r="L783" s="284">
        <f>ROUND(BA70,0)</f>
        <v>0</v>
      </c>
      <c r="M783" s="284">
        <f>ROUND(BA71,0)</f>
        <v>0</v>
      </c>
      <c r="N783" s="284"/>
      <c r="O783" s="284"/>
      <c r="P783" s="284">
        <f>IF(BA77&gt;0,ROUND(BA77,0),0)</f>
        <v>0</v>
      </c>
      <c r="Q783" s="284">
        <f>IF(BA78&gt;0,ROUND(BA78,0),0)</f>
        <v>0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5">
      <c r="A784" s="209" t="str">
        <f>RIGHT($C$84,3)&amp;"*"&amp;RIGHT($C$83,4)&amp;"*"&amp;BB$55&amp;"*"&amp;"A"</f>
        <v>ter*197*8360*A</v>
      </c>
      <c r="B784" s="284"/>
      <c r="C784" s="287">
        <f>ROUND(BB60,2)</f>
        <v>8.3000000000000007</v>
      </c>
      <c r="D784" s="284">
        <f>ROUND(BB61,0)</f>
        <v>798107</v>
      </c>
      <c r="E784" s="284">
        <f>ROUND(BB62,0)</f>
        <v>138556</v>
      </c>
      <c r="F784" s="284">
        <f>ROUND(BB63,0)</f>
        <v>54996</v>
      </c>
      <c r="G784" s="284">
        <f>ROUND(BB64,0)</f>
        <v>2647</v>
      </c>
      <c r="H784" s="284">
        <f>ROUND(BB65,0)</f>
        <v>0</v>
      </c>
      <c r="I784" s="284">
        <f>ROUND(BB66,0)</f>
        <v>41499</v>
      </c>
      <c r="J784" s="284">
        <f>ROUND(BB67,0)</f>
        <v>26465</v>
      </c>
      <c r="K784" s="284">
        <f>ROUND(BB68,0)</f>
        <v>48</v>
      </c>
      <c r="L784" s="284">
        <f>ROUND(BB70,0)</f>
        <v>0</v>
      </c>
      <c r="M784" s="284">
        <f>ROUND(BB71,0)</f>
        <v>1078117</v>
      </c>
      <c r="N784" s="284"/>
      <c r="O784" s="284"/>
      <c r="P784" s="284">
        <f>IF(BB77&gt;0,ROUND(BB77,0),0)</f>
        <v>0</v>
      </c>
      <c r="Q784" s="284">
        <f>IF(BB78&gt;0,ROUND(BB78,0),0)</f>
        <v>217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5">
      <c r="A785" s="209" t="str">
        <f>RIGHT($C$84,3)&amp;"*"&amp;RIGHT($C$83,4)&amp;"*"&amp;BC$55&amp;"*"&amp;"A"</f>
        <v>ter*197*8370*A</v>
      </c>
      <c r="B785" s="284"/>
      <c r="C785" s="287">
        <f>ROUND(BC60,2)</f>
        <v>0</v>
      </c>
      <c r="D785" s="284">
        <f>ROUND(BC61,0)</f>
        <v>0</v>
      </c>
      <c r="E785" s="284">
        <f>ROUND(BC62,0)</f>
        <v>0</v>
      </c>
      <c r="F785" s="284">
        <f>ROUND(BC63,0)</f>
        <v>0</v>
      </c>
      <c r="G785" s="284">
        <f>ROUND(BC64,0)</f>
        <v>0</v>
      </c>
      <c r="H785" s="284">
        <f>ROUND(BC65,0)</f>
        <v>0</v>
      </c>
      <c r="I785" s="284">
        <f>ROUND(BC66,0)</f>
        <v>0</v>
      </c>
      <c r="J785" s="284">
        <f>ROUND(BC67,0)</f>
        <v>0</v>
      </c>
      <c r="K785" s="284">
        <f>ROUND(BC68,0)</f>
        <v>0</v>
      </c>
      <c r="L785" s="284">
        <f>ROUND(BC70,0)</f>
        <v>0</v>
      </c>
      <c r="M785" s="284">
        <f>ROUND(BC71,0)</f>
        <v>0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5">
      <c r="A786" s="209" t="str">
        <f>RIGHT($C$84,3)&amp;"*"&amp;RIGHT($C$83,4)&amp;"*"&amp;BD$55&amp;"*"&amp;"A"</f>
        <v>ter*197*8420*A</v>
      </c>
      <c r="B786" s="284"/>
      <c r="C786" s="287">
        <f>ROUND(BD60,2)</f>
        <v>6.49</v>
      </c>
      <c r="D786" s="284">
        <f>ROUND(BD61,0)</f>
        <v>384458</v>
      </c>
      <c r="E786" s="284">
        <f>ROUND(BD62,0)</f>
        <v>66501</v>
      </c>
      <c r="F786" s="284">
        <f>ROUND(BD63,0)</f>
        <v>0</v>
      </c>
      <c r="G786" s="284">
        <f>ROUND(BD64,0)</f>
        <v>15852904</v>
      </c>
      <c r="H786" s="284">
        <f>ROUND(BD65,0)</f>
        <v>0</v>
      </c>
      <c r="I786" s="284">
        <f>ROUND(BD66,0)</f>
        <v>17838</v>
      </c>
      <c r="J786" s="284">
        <f>ROUND(BD67,0)</f>
        <v>91735</v>
      </c>
      <c r="K786" s="284">
        <f>ROUND(BD68,0)</f>
        <v>1928</v>
      </c>
      <c r="L786" s="284">
        <f>ROUND(BD70,0)</f>
        <v>0</v>
      </c>
      <c r="M786" s="284">
        <f>ROUND(BD71,0)</f>
        <v>16559316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5">
      <c r="A787" s="209" t="str">
        <f>RIGHT($C$84,3)&amp;"*"&amp;RIGHT($C$83,4)&amp;"*"&amp;BE$55&amp;"*"&amp;"A"</f>
        <v>ter*197*8430*A</v>
      </c>
      <c r="B787" s="284">
        <f>ROUND(BE59,0)</f>
        <v>155374</v>
      </c>
      <c r="C787" s="287">
        <f>ROUND(BE60,2)</f>
        <v>11.86</v>
      </c>
      <c r="D787" s="284">
        <f>ROUND(BE61,0)</f>
        <v>767745</v>
      </c>
      <c r="E787" s="284">
        <f>ROUND(BE62,0)</f>
        <v>132932</v>
      </c>
      <c r="F787" s="284">
        <f>ROUND(BE63,0)</f>
        <v>0</v>
      </c>
      <c r="G787" s="284">
        <f>ROUND(BE64,0)</f>
        <v>27795</v>
      </c>
      <c r="H787" s="284">
        <f>ROUND(BE65,0)</f>
        <v>936158</v>
      </c>
      <c r="I787" s="284">
        <f>ROUND(BE66,0)</f>
        <v>124094</v>
      </c>
      <c r="J787" s="284">
        <f>ROUND(BE67,0)</f>
        <v>966986</v>
      </c>
      <c r="K787" s="284">
        <f>ROUND(BE68,0)</f>
        <v>3828</v>
      </c>
      <c r="L787" s="284">
        <f>ROUND(BE70,0)</f>
        <v>0</v>
      </c>
      <c r="M787" s="284">
        <f>ROUND(BE71,0)</f>
        <v>3391272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5">
      <c r="A788" s="209" t="str">
        <f>RIGHT($C$84,3)&amp;"*"&amp;RIGHT($C$83,4)&amp;"*"&amp;BF$55&amp;"*"&amp;"A"</f>
        <v>ter*197*8460*A</v>
      </c>
      <c r="B788" s="284"/>
      <c r="C788" s="287">
        <f>ROUND(BF60,2)</f>
        <v>21.83</v>
      </c>
      <c r="D788" s="284">
        <f>ROUND(BF61,0)</f>
        <v>864957</v>
      </c>
      <c r="E788" s="284">
        <f>ROUND(BF62,0)</f>
        <v>150534</v>
      </c>
      <c r="F788" s="284">
        <f>ROUND(BF63,0)</f>
        <v>0</v>
      </c>
      <c r="G788" s="284">
        <f>ROUND(BF64,0)</f>
        <v>106255</v>
      </c>
      <c r="H788" s="284">
        <f>ROUND(BF65,0)</f>
        <v>0</v>
      </c>
      <c r="I788" s="284">
        <f>ROUND(BF66,0)</f>
        <v>614413</v>
      </c>
      <c r="J788" s="284">
        <f>ROUND(BF67,0)</f>
        <v>81864</v>
      </c>
      <c r="K788" s="284">
        <f>ROUND(BF68,0)</f>
        <v>5</v>
      </c>
      <c r="L788" s="284">
        <f>ROUND(BF70,0)</f>
        <v>0</v>
      </c>
      <c r="M788" s="284">
        <f>ROUND(BF71,0)</f>
        <v>1823562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5">
      <c r="A789" s="209" t="str">
        <f>RIGHT($C$84,3)&amp;"*"&amp;RIGHT($C$83,4)&amp;"*"&amp;BG$55&amp;"*"&amp;"A"</f>
        <v>ter*197*8470*A</v>
      </c>
      <c r="B789" s="284"/>
      <c r="C789" s="287">
        <f>ROUND(BG60,2)</f>
        <v>2.54</v>
      </c>
      <c r="D789" s="284">
        <f>ROUND(BG61,0)</f>
        <v>88732</v>
      </c>
      <c r="E789" s="284">
        <f>ROUND(BG62,0)</f>
        <v>15371</v>
      </c>
      <c r="F789" s="284">
        <f>ROUND(BG63,0)</f>
        <v>0</v>
      </c>
      <c r="G789" s="284">
        <f>ROUND(BG64,0)</f>
        <v>78</v>
      </c>
      <c r="H789" s="284">
        <f>ROUND(BG65,0)</f>
        <v>211139</v>
      </c>
      <c r="I789" s="284">
        <f>ROUND(BG66,0)</f>
        <v>0</v>
      </c>
      <c r="J789" s="284">
        <f>ROUND(BG67,0)</f>
        <v>12052</v>
      </c>
      <c r="K789" s="284">
        <f>ROUND(BG68,0)</f>
        <v>0</v>
      </c>
      <c r="L789" s="284">
        <f>ROUND(BG70,0)</f>
        <v>0</v>
      </c>
      <c r="M789" s="284">
        <f>ROUND(BG71,0)</f>
        <v>327372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5">
      <c r="A790" s="209" t="str">
        <f>RIGHT($C$84,3)&amp;"*"&amp;RIGHT($C$83,4)&amp;"*"&amp;BH$55&amp;"*"&amp;"A"</f>
        <v>ter*197*8480*A</v>
      </c>
      <c r="B790" s="284"/>
      <c r="C790" s="287">
        <f>ROUND(BH60,2)</f>
        <v>4.87</v>
      </c>
      <c r="D790" s="284">
        <f>ROUND(BH61,0)</f>
        <v>397712</v>
      </c>
      <c r="E790" s="284">
        <f>ROUND(BH62,0)</f>
        <v>69280</v>
      </c>
      <c r="F790" s="284">
        <f>ROUND(BH63,0)</f>
        <v>0</v>
      </c>
      <c r="G790" s="284">
        <f>ROUND(BH64,0)</f>
        <v>46759</v>
      </c>
      <c r="H790" s="284">
        <f>ROUND(BH65,0)</f>
        <v>0</v>
      </c>
      <c r="I790" s="284">
        <f>ROUND(BH66,0)</f>
        <v>1597435</v>
      </c>
      <c r="J790" s="284">
        <f>ROUND(BH67,0)</f>
        <v>26895</v>
      </c>
      <c r="K790" s="284">
        <f>ROUND(BH68,0)</f>
        <v>0</v>
      </c>
      <c r="L790" s="284">
        <f>ROUND(BH70,0)</f>
        <v>0</v>
      </c>
      <c r="M790" s="284">
        <f>ROUND(BH71,0)</f>
        <v>2342325</v>
      </c>
      <c r="N790" s="284"/>
      <c r="O790" s="284"/>
      <c r="P790" s="284">
        <f>IF(BH77&gt;0,ROUND(BH77,0),0)</f>
        <v>0</v>
      </c>
      <c r="Q790" s="284">
        <f>IF(BH78&gt;0,ROUND(BH78,0),0)</f>
        <v>220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5">
      <c r="A791" s="209" t="str">
        <f>RIGHT($C$84,3)&amp;"*"&amp;RIGHT($C$83,4)&amp;"*"&amp;BI$55&amp;"*"&amp;"A"</f>
        <v>ter*197*8490*A</v>
      </c>
      <c r="B791" s="284"/>
      <c r="C791" s="287">
        <f>ROUND(BI60,2)</f>
        <v>0</v>
      </c>
      <c r="D791" s="284">
        <f>ROUND(BI61,0)</f>
        <v>0</v>
      </c>
      <c r="E791" s="284">
        <f>ROUND(BI62,0)</f>
        <v>0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>
        <f>ROUND(BI67,0)</f>
        <v>0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5">
      <c r="A792" s="209" t="str">
        <f>RIGHT($C$84,3)&amp;"*"&amp;RIGHT($C$83,4)&amp;"*"&amp;BJ$55&amp;"*"&amp;"A"</f>
        <v>ter*197*8510*A</v>
      </c>
      <c r="B792" s="284"/>
      <c r="C792" s="287">
        <f>ROUND(BJ60,2)</f>
        <v>4.5</v>
      </c>
      <c r="D792" s="284">
        <f>ROUND(BJ61,0)</f>
        <v>321230</v>
      </c>
      <c r="E792" s="284">
        <f>ROUND(BJ62,0)</f>
        <v>54691</v>
      </c>
      <c r="F792" s="284">
        <f>ROUND(BJ63,0)</f>
        <v>0</v>
      </c>
      <c r="G792" s="284">
        <f>ROUND(BJ64,0)</f>
        <v>3006</v>
      </c>
      <c r="H792" s="284">
        <f>ROUND(BJ65,0)</f>
        <v>0</v>
      </c>
      <c r="I792" s="284">
        <f>ROUND(BJ66,0)</f>
        <v>5000</v>
      </c>
      <c r="J792" s="284">
        <f>ROUND(BJ67,0)</f>
        <v>58474</v>
      </c>
      <c r="K792" s="284">
        <f>ROUND(BJ68,0)</f>
        <v>27</v>
      </c>
      <c r="L792" s="284">
        <f>ROUND(BJ70,0)</f>
        <v>0</v>
      </c>
      <c r="M792" s="284">
        <f>ROUND(BJ71,0)</f>
        <v>457499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5">
      <c r="A793" s="209" t="str">
        <f>RIGHT($C$84,3)&amp;"*"&amp;RIGHT($C$83,4)&amp;"*"&amp;BK$55&amp;"*"&amp;"A"</f>
        <v>ter*197*8530*A</v>
      </c>
      <c r="B793" s="284"/>
      <c r="C793" s="287">
        <f>ROUND(BK60,2)</f>
        <v>0</v>
      </c>
      <c r="D793" s="284">
        <f>ROUND(BK61,0)</f>
        <v>0</v>
      </c>
      <c r="E793" s="284">
        <f>ROUND(BK62,0)</f>
        <v>0</v>
      </c>
      <c r="F793" s="284">
        <f>ROUND(BK63,0)</f>
        <v>0</v>
      </c>
      <c r="G793" s="284">
        <f>ROUND(BK64,0)</f>
        <v>0</v>
      </c>
      <c r="H793" s="284">
        <f>ROUND(BK65,0)</f>
        <v>0</v>
      </c>
      <c r="I793" s="284">
        <f>ROUND(BK66,0)</f>
        <v>2354052</v>
      </c>
      <c r="J793" s="284">
        <f>ROUND(BK67,0)</f>
        <v>0</v>
      </c>
      <c r="K793" s="284">
        <f>ROUND(BK68,0)</f>
        <v>0</v>
      </c>
      <c r="L793" s="284">
        <f>ROUND(BK70,0)</f>
        <v>0</v>
      </c>
      <c r="M793" s="284">
        <f>ROUND(BK71,0)</f>
        <v>2354295</v>
      </c>
      <c r="N793" s="284"/>
      <c r="O793" s="284"/>
      <c r="P793" s="284">
        <f>IF(BK77&gt;0,ROUND(BK77,0),0)</f>
        <v>0</v>
      </c>
      <c r="Q793" s="284">
        <f>IF(BK78&gt;0,ROUND(BK78,0),0)</f>
        <v>0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5">
      <c r="A794" s="209" t="str">
        <f>RIGHT($C$84,3)&amp;"*"&amp;RIGHT($C$83,4)&amp;"*"&amp;BL$55&amp;"*"&amp;"A"</f>
        <v>ter*197*8560*A</v>
      </c>
      <c r="B794" s="284"/>
      <c r="C794" s="287">
        <f>ROUND(BL60,2)</f>
        <v>19.79</v>
      </c>
      <c r="D794" s="284">
        <f>ROUND(BL61,0)</f>
        <v>902207</v>
      </c>
      <c r="E794" s="284">
        <f>ROUND(BL62,0)</f>
        <v>156437</v>
      </c>
      <c r="F794" s="284">
        <f>ROUND(BL63,0)</f>
        <v>0</v>
      </c>
      <c r="G794" s="284">
        <f>ROUND(BL64,0)</f>
        <v>42129</v>
      </c>
      <c r="H794" s="284">
        <f>ROUND(BL65,0)</f>
        <v>0</v>
      </c>
      <c r="I794" s="284">
        <f>ROUND(BL66,0)</f>
        <v>60974</v>
      </c>
      <c r="J794" s="284">
        <f>ROUND(BL67,0)</f>
        <v>64411</v>
      </c>
      <c r="K794" s="284">
        <f>ROUND(BL68,0)</f>
        <v>-1</v>
      </c>
      <c r="L794" s="284">
        <f>ROUND(BL70,0)</f>
        <v>0</v>
      </c>
      <c r="M794" s="284">
        <f>ROUND(BL71,0)</f>
        <v>1381707</v>
      </c>
      <c r="N794" s="284"/>
      <c r="O794" s="284"/>
      <c r="P794" s="284">
        <f>IF(BL77&gt;0,ROUND(BL77,0),0)</f>
        <v>0</v>
      </c>
      <c r="Q794" s="284">
        <f>IF(BL78&gt;0,ROUND(BL78,0),0)</f>
        <v>528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5">
      <c r="A795" s="209" t="str">
        <f>RIGHT($C$84,3)&amp;"*"&amp;RIGHT($C$83,4)&amp;"*"&amp;BM$55&amp;"*"&amp;"A"</f>
        <v>ter*197*8590*A</v>
      </c>
      <c r="B795" s="284"/>
      <c r="C795" s="287">
        <f>ROUND(BM60,2)</f>
        <v>0</v>
      </c>
      <c r="D795" s="284">
        <f>ROUND(BM61,0)</f>
        <v>0</v>
      </c>
      <c r="E795" s="284">
        <f>ROUND(BM62,0)</f>
        <v>0</v>
      </c>
      <c r="F795" s="284">
        <f>ROUND(BM63,0)</f>
        <v>0</v>
      </c>
      <c r="G795" s="284">
        <f>ROUND(BM64,0)</f>
        <v>0</v>
      </c>
      <c r="H795" s="284">
        <f>ROUND(BM65,0)</f>
        <v>0</v>
      </c>
      <c r="I795" s="284">
        <f>ROUND(BM66,0)</f>
        <v>0</v>
      </c>
      <c r="J795" s="284">
        <f>ROUND(BM67,0)</f>
        <v>0</v>
      </c>
      <c r="K795" s="284">
        <f>ROUND(BM68,0)</f>
        <v>0</v>
      </c>
      <c r="L795" s="284">
        <f>ROUND(BM70,0)</f>
        <v>0</v>
      </c>
      <c r="M795" s="284">
        <f>ROUND(BM71,0)</f>
        <v>0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5">
      <c r="A796" s="209" t="str">
        <f>RIGHT($C$84,3)&amp;"*"&amp;RIGHT($C$83,4)&amp;"*"&amp;BN$55&amp;"*"&amp;"A"</f>
        <v>ter*197*8610*A</v>
      </c>
      <c r="B796" s="284"/>
      <c r="C796" s="287">
        <f>ROUND(BN60,2)</f>
        <v>7.27</v>
      </c>
      <c r="D796" s="284">
        <f>ROUND(BN61,0)</f>
        <v>1475115</v>
      </c>
      <c r="E796" s="284">
        <f>ROUND(BN62,0)</f>
        <v>172133</v>
      </c>
      <c r="F796" s="284">
        <f>ROUND(BN63,0)</f>
        <v>0</v>
      </c>
      <c r="G796" s="284">
        <f>ROUND(BN64,0)</f>
        <v>25002</v>
      </c>
      <c r="H796" s="284">
        <f>ROUND(BN65,0)</f>
        <v>45</v>
      </c>
      <c r="I796" s="284">
        <f>ROUND(BN66,0)</f>
        <v>671536</v>
      </c>
      <c r="J796" s="284">
        <f>ROUND(BN67,0)</f>
        <v>138585</v>
      </c>
      <c r="K796" s="284">
        <f>ROUND(BN68,0)</f>
        <v>432192</v>
      </c>
      <c r="L796" s="284">
        <f>ROUND(BN70,0)</f>
        <v>0</v>
      </c>
      <c r="M796" s="284">
        <f>ROUND(BN71,0)</f>
        <v>5489422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5">
      <c r="A797" s="209" t="str">
        <f>RIGHT($C$84,3)&amp;"*"&amp;RIGHT($C$83,4)&amp;"*"&amp;BO$55&amp;"*"&amp;"A"</f>
        <v>ter*197*8620*A</v>
      </c>
      <c r="B797" s="284"/>
      <c r="C797" s="287">
        <f>ROUND(BO60,2)</f>
        <v>0</v>
      </c>
      <c r="D797" s="284">
        <f>ROUND(BO61,0)</f>
        <v>0</v>
      </c>
      <c r="E797" s="284">
        <f>ROUND(BO62,0)</f>
        <v>0</v>
      </c>
      <c r="F797" s="284">
        <f>ROUND(BO63,0)</f>
        <v>0</v>
      </c>
      <c r="G797" s="284">
        <f>ROUND(BO64,0)</f>
        <v>0</v>
      </c>
      <c r="H797" s="284">
        <f>ROUND(BO65,0)</f>
        <v>0</v>
      </c>
      <c r="I797" s="284">
        <f>ROUND(BO66,0)</f>
        <v>0</v>
      </c>
      <c r="J797" s="284">
        <f>ROUND(BO67,0)</f>
        <v>0</v>
      </c>
      <c r="K797" s="284">
        <f>ROUND(BO68,0)</f>
        <v>0</v>
      </c>
      <c r="L797" s="284">
        <f>ROUND(BO70,0)</f>
        <v>0</v>
      </c>
      <c r="M797" s="284">
        <f>ROUND(BO71,0)</f>
        <v>0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5">
      <c r="A798" s="209" t="str">
        <f>RIGHT($C$84,3)&amp;"*"&amp;RIGHT($C$83,4)&amp;"*"&amp;BP$55&amp;"*"&amp;"A"</f>
        <v>ter*197*8630*A</v>
      </c>
      <c r="B798" s="284"/>
      <c r="C798" s="287">
        <f>ROUND(BP60,2)</f>
        <v>1.06</v>
      </c>
      <c r="D798" s="284">
        <f>ROUND(BP61,0)</f>
        <v>64368</v>
      </c>
      <c r="E798" s="284">
        <f>ROUND(BP62,0)</f>
        <v>11247</v>
      </c>
      <c r="F798" s="284">
        <f>ROUND(BP63,0)</f>
        <v>0</v>
      </c>
      <c r="G798" s="284">
        <f>ROUND(BP64,0)</f>
        <v>21709</v>
      </c>
      <c r="H798" s="284">
        <f>ROUND(BP65,0)</f>
        <v>0</v>
      </c>
      <c r="I798" s="284">
        <f>ROUND(BP66,0)</f>
        <v>22062</v>
      </c>
      <c r="J798" s="284">
        <f>ROUND(BP67,0)</f>
        <v>26072</v>
      </c>
      <c r="K798" s="284">
        <f>ROUND(BP68,0)</f>
        <v>0</v>
      </c>
      <c r="L798" s="284">
        <f>ROUND(BP70,0)</f>
        <v>0</v>
      </c>
      <c r="M798" s="284">
        <f>ROUND(BP71,0)</f>
        <v>354889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5">
      <c r="A799" s="209" t="str">
        <f>RIGHT($C$84,3)&amp;"*"&amp;RIGHT($C$83,4)&amp;"*"&amp;BQ$55&amp;"*"&amp;"A"</f>
        <v>ter*197*8640*A</v>
      </c>
      <c r="B799" s="284"/>
      <c r="C799" s="287">
        <f>ROUND(BQ60,2)</f>
        <v>0</v>
      </c>
      <c r="D799" s="284">
        <f>ROUND(BQ61,0)</f>
        <v>0</v>
      </c>
      <c r="E799" s="284">
        <f>ROUND(BQ62,0)</f>
        <v>0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>
        <f>ROUND(BQ67,0)</f>
        <v>0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5">
      <c r="A800" s="209" t="str">
        <f>RIGHT($C$84,3)&amp;"*"&amp;RIGHT($C$83,4)&amp;"*"&amp;BR$55&amp;"*"&amp;"A"</f>
        <v>ter*197*8650*A</v>
      </c>
      <c r="B800" s="284"/>
      <c r="C800" s="287">
        <f>ROUND(BR60,2)</f>
        <v>3.54</v>
      </c>
      <c r="D800" s="284">
        <f>ROUND(BR61,0)</f>
        <v>298051</v>
      </c>
      <c r="E800" s="284">
        <f>ROUND(BR62,0)</f>
        <v>51544</v>
      </c>
      <c r="F800" s="284">
        <f>ROUND(BR63,0)</f>
        <v>0</v>
      </c>
      <c r="G800" s="284">
        <f>ROUND(BR64,0)</f>
        <v>8871</v>
      </c>
      <c r="H800" s="284">
        <f>ROUND(BR65,0)</f>
        <v>0</v>
      </c>
      <c r="I800" s="284">
        <f>ROUND(BR66,0)</f>
        <v>149540</v>
      </c>
      <c r="J800" s="284">
        <f>ROUND(BR67,0)</f>
        <v>36229</v>
      </c>
      <c r="K800" s="284">
        <f>ROUND(BR68,0)</f>
        <v>16</v>
      </c>
      <c r="L800" s="284">
        <f>ROUND(BR70,0)</f>
        <v>0</v>
      </c>
      <c r="M800" s="284">
        <f>ROUND(BR71,0)</f>
        <v>684798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5">
      <c r="A801" s="209" t="str">
        <f>RIGHT($C$84,3)&amp;"*"&amp;RIGHT($C$83,4)&amp;"*"&amp;BS$55&amp;"*"&amp;"A"</f>
        <v>ter*197*8660*A</v>
      </c>
      <c r="B801" s="284"/>
      <c r="C801" s="287">
        <f>ROUND(BS60,2)</f>
        <v>0</v>
      </c>
      <c r="D801" s="284">
        <f>ROUND(BS61,0)</f>
        <v>0</v>
      </c>
      <c r="E801" s="284">
        <f>ROUND(BS62,0)</f>
        <v>0</v>
      </c>
      <c r="F801" s="284">
        <f>ROUND(BS63,0)</f>
        <v>0</v>
      </c>
      <c r="G801" s="284">
        <f>ROUND(BS64,0)</f>
        <v>0</v>
      </c>
      <c r="H801" s="284">
        <f>ROUND(BS65,0)</f>
        <v>0</v>
      </c>
      <c r="I801" s="284">
        <f>ROUND(BS66,0)</f>
        <v>0</v>
      </c>
      <c r="J801" s="284">
        <f>ROUND(BS67,0)</f>
        <v>10228</v>
      </c>
      <c r="K801" s="284">
        <f>ROUND(BS68,0)</f>
        <v>0</v>
      </c>
      <c r="L801" s="284">
        <f>ROUND(BS70,0)</f>
        <v>0</v>
      </c>
      <c r="M801" s="284">
        <f>ROUND(BS71,0)</f>
        <v>10228</v>
      </c>
      <c r="N801" s="284"/>
      <c r="O801" s="284"/>
      <c r="P801" s="284">
        <f>IF(BS77&gt;0,ROUND(BS77,0),0)</f>
        <v>0</v>
      </c>
      <c r="Q801" s="284">
        <f>IF(BS78&gt;0,ROUND(BS78,0),0)</f>
        <v>84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5">
      <c r="A802" s="209" t="str">
        <f>RIGHT($C$84,3)&amp;"*"&amp;RIGHT($C$83,4)&amp;"*"&amp;BT$55&amp;"*"&amp;"A"</f>
        <v>ter*197*8670*A</v>
      </c>
      <c r="B802" s="284"/>
      <c r="C802" s="287">
        <f>ROUND(BT60,2)</f>
        <v>0</v>
      </c>
      <c r="D802" s="284">
        <f>ROUND(BT61,0)</f>
        <v>0</v>
      </c>
      <c r="E802" s="284">
        <f>ROUND(BT62,0)</f>
        <v>0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>
        <f>ROUND(BT67,0)</f>
        <v>0</v>
      </c>
      <c r="K802" s="284">
        <f>ROUND(BT68,0)</f>
        <v>0</v>
      </c>
      <c r="L802" s="284">
        <f>ROUND(BT70,0)</f>
        <v>0</v>
      </c>
      <c r="M802" s="284">
        <f>ROUND(BT71,0)</f>
        <v>0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5">
      <c r="A803" s="209" t="str">
        <f>RIGHT($C$84,3)&amp;"*"&amp;RIGHT($C$83,4)&amp;"*"&amp;BU$55&amp;"*"&amp;"A"</f>
        <v>ter*197*8680*A</v>
      </c>
      <c r="B803" s="284"/>
      <c r="C803" s="287">
        <f>ROUND(BU60,2)</f>
        <v>0</v>
      </c>
      <c r="D803" s="284">
        <f>ROUND(BU61,0)</f>
        <v>0</v>
      </c>
      <c r="E803" s="284">
        <f>ROUND(BU62,0)</f>
        <v>0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>
        <f>ROUND(BU67,0)</f>
        <v>119988</v>
      </c>
      <c r="K803" s="284">
        <f>ROUND(BU68,0)</f>
        <v>0</v>
      </c>
      <c r="L803" s="284">
        <f>ROUND(BU70,0)</f>
        <v>0</v>
      </c>
      <c r="M803" s="284">
        <f>ROUND(BU71,0)</f>
        <v>119988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5">
      <c r="A804" s="209" t="str">
        <f>RIGHT($C$84,3)&amp;"*"&amp;RIGHT($C$83,4)&amp;"*"&amp;BV$55&amp;"*"&amp;"A"</f>
        <v>ter*197*8690*A</v>
      </c>
      <c r="B804" s="284"/>
      <c r="C804" s="287">
        <f>ROUND(BV60,2)</f>
        <v>11.17</v>
      </c>
      <c r="D804" s="284">
        <f>ROUND(BV61,0)</f>
        <v>639572</v>
      </c>
      <c r="E804" s="284">
        <f>ROUND(BV62,0)</f>
        <v>109245</v>
      </c>
      <c r="F804" s="284">
        <f>ROUND(BV63,0)</f>
        <v>0</v>
      </c>
      <c r="G804" s="284">
        <f>ROUND(BV64,0)</f>
        <v>16350</v>
      </c>
      <c r="H804" s="284">
        <f>ROUND(BV65,0)</f>
        <v>23</v>
      </c>
      <c r="I804" s="284">
        <f>ROUND(BV66,0)</f>
        <v>263163</v>
      </c>
      <c r="J804" s="284">
        <f>ROUND(BV67,0)</f>
        <v>0</v>
      </c>
      <c r="K804" s="284">
        <f>ROUND(BV68,0)</f>
        <v>95379</v>
      </c>
      <c r="L804" s="284">
        <f>ROUND(BV70,0)</f>
        <v>0</v>
      </c>
      <c r="M804" s="284">
        <f>ROUND(BV71,0)</f>
        <v>1131842</v>
      </c>
      <c r="N804" s="284"/>
      <c r="O804" s="284"/>
      <c r="P804" s="284">
        <f>IF(BV77&gt;0,ROUND(BV77,0),0)</f>
        <v>0</v>
      </c>
      <c r="Q804" s="284">
        <f>IF(BV78&gt;0,ROUND(BV78,0),0)</f>
        <v>983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5">
      <c r="A805" s="209" t="str">
        <f>RIGHT($C$84,3)&amp;"*"&amp;RIGHT($C$83,4)&amp;"*"&amp;BW$55&amp;"*"&amp;"A"</f>
        <v>ter*197*8700*A</v>
      </c>
      <c r="B805" s="284"/>
      <c r="C805" s="287">
        <f>ROUND(BW60,2)</f>
        <v>1.27</v>
      </c>
      <c r="D805" s="284">
        <f>ROUND(BW61,0)</f>
        <v>103536</v>
      </c>
      <c r="E805" s="284">
        <f>ROUND(BW62,0)</f>
        <v>18393</v>
      </c>
      <c r="F805" s="284">
        <f>ROUND(BW63,0)</f>
        <v>0</v>
      </c>
      <c r="G805" s="284">
        <f>ROUND(BW64,0)</f>
        <v>1263</v>
      </c>
      <c r="H805" s="284">
        <f>ROUND(BW65,0)</f>
        <v>0</v>
      </c>
      <c r="I805" s="284">
        <f>ROUND(BW66,0)</f>
        <v>2360</v>
      </c>
      <c r="J805" s="284">
        <f>ROUND(BW67,0)</f>
        <v>0</v>
      </c>
      <c r="K805" s="284">
        <f>ROUND(BW68,0)</f>
        <v>670</v>
      </c>
      <c r="L805" s="284">
        <f>ROUND(BW70,0)</f>
        <v>0</v>
      </c>
      <c r="M805" s="284">
        <f>ROUND(BW71,0)</f>
        <v>128080</v>
      </c>
      <c r="N805" s="284"/>
      <c r="O805" s="284"/>
      <c r="P805" s="284">
        <f>IF(BW77&gt;0,ROUND(BW77,0),0)</f>
        <v>0</v>
      </c>
      <c r="Q805" s="284">
        <f>IF(BW78&gt;0,ROUND(BW78,0),0)</f>
        <v>0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5">
      <c r="A806" s="209" t="str">
        <f>RIGHT($C$84,3)&amp;"*"&amp;RIGHT($C$83,4)&amp;"*"&amp;BX$55&amp;"*"&amp;"A"</f>
        <v>ter*197*8710*A</v>
      </c>
      <c r="B806" s="284"/>
      <c r="C806" s="287">
        <f>ROUND(BX60,2)</f>
        <v>2.5299999999999998</v>
      </c>
      <c r="D806" s="284">
        <f>ROUND(BX61,0)</f>
        <v>246909</v>
      </c>
      <c r="E806" s="284">
        <f>ROUND(BX62,0)</f>
        <v>43631</v>
      </c>
      <c r="F806" s="284">
        <f>ROUND(BX63,0)</f>
        <v>19274</v>
      </c>
      <c r="G806" s="284">
        <f>ROUND(BX64,0)</f>
        <v>9581</v>
      </c>
      <c r="H806" s="284">
        <f>ROUND(BX65,0)</f>
        <v>0</v>
      </c>
      <c r="I806" s="284">
        <f>ROUND(BX66,0)</f>
        <v>286767</v>
      </c>
      <c r="J806" s="284">
        <f>ROUND(BX67,0)</f>
        <v>2968</v>
      </c>
      <c r="K806" s="284">
        <f>ROUND(BX68,0)</f>
        <v>0</v>
      </c>
      <c r="L806" s="284">
        <f>ROUND(BX70,0)</f>
        <v>0</v>
      </c>
      <c r="M806" s="284">
        <f>ROUND(BX71,0)</f>
        <v>640855</v>
      </c>
      <c r="N806" s="284"/>
      <c r="O806" s="284"/>
      <c r="P806" s="284">
        <f>IF(BX77&gt;0,ROUND(BX77,0),0)</f>
        <v>0</v>
      </c>
      <c r="Q806" s="284">
        <f>IF(BX78&gt;0,ROUND(BX78,0),0)</f>
        <v>24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5">
      <c r="A807" s="209" t="str">
        <f>RIGHT($C$84,3)&amp;"*"&amp;RIGHT($C$83,4)&amp;"*"&amp;BY$55&amp;"*"&amp;"A"</f>
        <v>ter*197*8720*A</v>
      </c>
      <c r="B807" s="284"/>
      <c r="C807" s="287">
        <f>ROUND(BY60,2)</f>
        <v>10.24</v>
      </c>
      <c r="D807" s="284">
        <f>ROUND(BY61,0)</f>
        <v>1158434</v>
      </c>
      <c r="E807" s="284">
        <f>ROUND(BY62,0)</f>
        <v>202341</v>
      </c>
      <c r="F807" s="284">
        <f>ROUND(BY63,0)</f>
        <v>0</v>
      </c>
      <c r="G807" s="284">
        <f>ROUND(BY64,0)</f>
        <v>11399</v>
      </c>
      <c r="H807" s="284">
        <f>ROUND(BY65,0)</f>
        <v>0</v>
      </c>
      <c r="I807" s="284">
        <f>ROUND(BY66,0)</f>
        <v>1811</v>
      </c>
      <c r="J807" s="284">
        <f>ROUND(BY67,0)</f>
        <v>41665</v>
      </c>
      <c r="K807" s="284">
        <f>ROUND(BY68,0)</f>
        <v>382</v>
      </c>
      <c r="L807" s="284">
        <f>ROUND(BY70,0)</f>
        <v>0</v>
      </c>
      <c r="M807" s="284">
        <f>ROUND(BY71,0)</f>
        <v>1430566</v>
      </c>
      <c r="N807" s="284"/>
      <c r="O807" s="284"/>
      <c r="P807" s="284">
        <f>IF(BY77&gt;0,ROUND(BY77,0),0)</f>
        <v>0</v>
      </c>
      <c r="Q807" s="284">
        <f>IF(BY78&gt;0,ROUND(BY78,0),0)</f>
        <v>341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5">
      <c r="A808" s="209" t="str">
        <f>RIGHT($C$84,3)&amp;"*"&amp;RIGHT($C$83,4)&amp;"*"&amp;BZ$55&amp;"*"&amp;"A"</f>
        <v>ter*197*8730*A</v>
      </c>
      <c r="B808" s="284"/>
      <c r="C808" s="287">
        <f>ROUND(BZ60,2)</f>
        <v>0</v>
      </c>
      <c r="D808" s="284">
        <f>ROUND(BZ61,0)</f>
        <v>0</v>
      </c>
      <c r="E808" s="284">
        <f>ROUND(BZ62,0)</f>
        <v>0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>
        <f>ROUND(BZ67,0)</f>
        <v>0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5">
      <c r="A809" s="209" t="str">
        <f>RIGHT($C$84,3)&amp;"*"&amp;RIGHT($C$83,4)&amp;"*"&amp;CA$55&amp;"*"&amp;"A"</f>
        <v>ter*197*8740*A</v>
      </c>
      <c r="B809" s="284"/>
      <c r="C809" s="287">
        <f>ROUND(CA60,2)</f>
        <v>1.62</v>
      </c>
      <c r="D809" s="284">
        <f>ROUND(CA61,0)</f>
        <v>186578</v>
      </c>
      <c r="E809" s="284">
        <f>ROUND(CA62,0)</f>
        <v>32929</v>
      </c>
      <c r="F809" s="284">
        <f>ROUND(CA63,0)</f>
        <v>0</v>
      </c>
      <c r="G809" s="284">
        <f>ROUND(CA64,0)</f>
        <v>393</v>
      </c>
      <c r="H809" s="284">
        <f>ROUND(CA65,0)</f>
        <v>0</v>
      </c>
      <c r="I809" s="284">
        <f>ROUND(CA66,0)</f>
        <v>0</v>
      </c>
      <c r="J809" s="284">
        <f>ROUND(CA67,0)</f>
        <v>80076</v>
      </c>
      <c r="K809" s="284">
        <f>ROUND(CA68,0)</f>
        <v>0</v>
      </c>
      <c r="L809" s="284">
        <f>ROUND(CA70,0)</f>
        <v>0</v>
      </c>
      <c r="M809" s="284">
        <f>ROUND(CA71,0)</f>
        <v>304481</v>
      </c>
      <c r="N809" s="284"/>
      <c r="O809" s="284"/>
      <c r="P809" s="284">
        <f>IF(CA77&gt;0,ROUND(CA77,0),0)</f>
        <v>0</v>
      </c>
      <c r="Q809" s="284">
        <f>IF(CA78&gt;0,ROUND(CA78,0),0)</f>
        <v>656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5">
      <c r="A810" s="209" t="str">
        <f>RIGHT($C$84,3)&amp;"*"&amp;RIGHT($C$83,4)&amp;"*"&amp;CB$55&amp;"*"&amp;"A"</f>
        <v>ter*197*8770*A</v>
      </c>
      <c r="B810" s="284"/>
      <c r="C810" s="287">
        <f>ROUND(CB60,2)</f>
        <v>0</v>
      </c>
      <c r="D810" s="284">
        <f>ROUND(CB61,0)</f>
        <v>0</v>
      </c>
      <c r="E810" s="284">
        <f>ROUND(CB62,0)</f>
        <v>0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>
        <f>ROUND(CB67,0)</f>
        <v>0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5">
      <c r="A811" s="209" t="str">
        <f>RIGHT($C$84,3)&amp;"*"&amp;RIGHT($C$83,4)&amp;"*"&amp;CC$55&amp;"*"&amp;"A"</f>
        <v>ter*197*8790*A</v>
      </c>
      <c r="B811" s="284"/>
      <c r="C811" s="287">
        <f>ROUND(CC60,2)</f>
        <v>0</v>
      </c>
      <c r="D811" s="284">
        <f>ROUND(CC61,0)</f>
        <v>0</v>
      </c>
      <c r="E811" s="284">
        <f>ROUND(CC62,0)</f>
        <v>0</v>
      </c>
      <c r="F811" s="284">
        <f>ROUND(CC63,0)</f>
        <v>0</v>
      </c>
      <c r="G811" s="284">
        <f>ROUND(CC64,0)</f>
        <v>0</v>
      </c>
      <c r="H811" s="284">
        <f>ROUND(CC65,0)</f>
        <v>0</v>
      </c>
      <c r="I811" s="284">
        <f>ROUND(CC66,0)</f>
        <v>0</v>
      </c>
      <c r="J811" s="284">
        <f>ROUND(CC67,0)</f>
        <v>0</v>
      </c>
      <c r="K811" s="284">
        <f>ROUND(CC68,0)</f>
        <v>0</v>
      </c>
      <c r="L811" s="284">
        <f>ROUND(CC70,0)</f>
        <v>0</v>
      </c>
      <c r="M811" s="284">
        <f>ROUND(CC71,0)</f>
        <v>0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5">
      <c r="A812" s="209" t="str">
        <f>RIGHT($C$84,3)&amp;"*"&amp;RIGHT($C$83,4)&amp;"*"&amp;"9000"&amp;"*"&amp;"A"</f>
        <v>ter*197*9000*A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295926</v>
      </c>
      <c r="V812" s="180">
        <f>ROUND(CD69,0)</f>
        <v>16964546</v>
      </c>
      <c r="W812" s="180">
        <f>ROUND(CD71,0)</f>
        <v>16668620</v>
      </c>
      <c r="X812" s="284">
        <f>ROUND(CE73,0)</f>
        <v>323420474</v>
      </c>
      <c r="Y812" s="284">
        <f>ROUND(C132,0)</f>
        <v>0</v>
      </c>
      <c r="Z812" s="284"/>
    </row>
    <row r="814" spans="1:26" ht="12.65" customHeight="1" x14ac:dyDescent="0.35">
      <c r="B814" s="199" t="s">
        <v>1004</v>
      </c>
      <c r="C814" s="264">
        <f t="shared" ref="C814:K814" si="22">SUM(C733:C812)</f>
        <v>484.06</v>
      </c>
      <c r="D814" s="180">
        <f t="shared" si="22"/>
        <v>39901049</v>
      </c>
      <c r="E814" s="180">
        <f t="shared" si="22"/>
        <v>6825176</v>
      </c>
      <c r="F814" s="180">
        <f t="shared" si="22"/>
        <v>3365384</v>
      </c>
      <c r="G814" s="180">
        <f t="shared" si="22"/>
        <v>23687061</v>
      </c>
      <c r="H814" s="180">
        <f t="shared" si="22"/>
        <v>1154786</v>
      </c>
      <c r="I814" s="180">
        <f t="shared" si="22"/>
        <v>9555213</v>
      </c>
      <c r="J814" s="180">
        <f t="shared" si="22"/>
        <v>5556791</v>
      </c>
      <c r="K814" s="180">
        <f t="shared" si="22"/>
        <v>2271361</v>
      </c>
      <c r="L814" s="180">
        <f>SUM(L733:L812)+SUM(U733:U812)</f>
        <v>295926</v>
      </c>
      <c r="M814" s="180">
        <f>SUM(M733:M812)+SUM(W733:W812)</f>
        <v>118071872</v>
      </c>
      <c r="N814" s="180">
        <f t="shared" ref="N814:Z814" si="23">SUM(N733:N812)</f>
        <v>99993</v>
      </c>
      <c r="O814" s="180">
        <f t="shared" si="23"/>
        <v>339741572</v>
      </c>
      <c r="P814" s="180">
        <f t="shared" si="23"/>
        <v>56623</v>
      </c>
      <c r="Q814" s="180">
        <f t="shared" si="23"/>
        <v>45521</v>
      </c>
      <c r="R814" s="180">
        <f t="shared" si="23"/>
        <v>657893</v>
      </c>
      <c r="S814" s="180">
        <f t="shared" si="23"/>
        <v>412</v>
      </c>
      <c r="T814" s="264">
        <f t="shared" si="23"/>
        <v>0</v>
      </c>
      <c r="U814" s="180">
        <f t="shared" si="23"/>
        <v>295926</v>
      </c>
      <c r="V814" s="180">
        <f t="shared" si="23"/>
        <v>16964546</v>
      </c>
      <c r="W814" s="180">
        <f t="shared" si="23"/>
        <v>16668620</v>
      </c>
      <c r="X814" s="180">
        <f t="shared" si="23"/>
        <v>323420474</v>
      </c>
      <c r="Y814" s="180">
        <f t="shared" si="23"/>
        <v>0</v>
      </c>
      <c r="Z814" s="180">
        <f t="shared" si="23"/>
        <v>56548974</v>
      </c>
    </row>
    <row r="815" spans="1:26" ht="12.65" customHeight="1" x14ac:dyDescent="0.35">
      <c r="B815" s="180" t="s">
        <v>1005</v>
      </c>
      <c r="C815" s="264">
        <f>CE60</f>
        <v>484.06</v>
      </c>
      <c r="D815" s="180">
        <f>CE61</f>
        <v>39901049</v>
      </c>
      <c r="E815" s="180">
        <f>CE62</f>
        <v>6825176</v>
      </c>
      <c r="F815" s="180">
        <f>CE63</f>
        <v>3365384</v>
      </c>
      <c r="G815" s="180">
        <f>CE64</f>
        <v>23687061</v>
      </c>
      <c r="H815" s="241">
        <f>CE65</f>
        <v>1154786</v>
      </c>
      <c r="I815" s="241">
        <f>CE66</f>
        <v>9555213</v>
      </c>
      <c r="J815" s="241">
        <f>CE67</f>
        <v>5556791</v>
      </c>
      <c r="K815" s="241">
        <f>CE68</f>
        <v>2271361</v>
      </c>
      <c r="L815" s="241">
        <f>CE70</f>
        <v>295926</v>
      </c>
      <c r="M815" s="241">
        <f>CE71</f>
        <v>118071872</v>
      </c>
      <c r="N815" s="180">
        <f>CE76</f>
        <v>155374</v>
      </c>
      <c r="O815" s="180">
        <f>CE74</f>
        <v>339741572</v>
      </c>
      <c r="P815" s="180">
        <f>CE77</f>
        <v>56623</v>
      </c>
      <c r="Q815" s="180">
        <f>CE78</f>
        <v>45521</v>
      </c>
      <c r="R815" s="180">
        <f>CE79</f>
        <v>657893</v>
      </c>
      <c r="S815" s="180">
        <f>CE80</f>
        <v>411.63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58720858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39901049</v>
      </c>
      <c r="G816" s="241">
        <f>C379</f>
        <v>6514729</v>
      </c>
      <c r="H816" s="241">
        <f>C380</f>
        <v>3365384</v>
      </c>
      <c r="I816" s="241">
        <f>C381</f>
        <v>23687061</v>
      </c>
      <c r="J816" s="241">
        <f>C382</f>
        <v>1154786</v>
      </c>
      <c r="K816" s="241">
        <f>C383</f>
        <v>9555213</v>
      </c>
      <c r="L816" s="241">
        <f>C384+C385+C386+C388</f>
        <v>18014032</v>
      </c>
      <c r="M816" s="241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Capital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H-197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3900 Capital Mall Drive SW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Olympia, WA 98502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H-197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Capital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Thurston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Jennifer Weldon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Stephen Snow, MD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360-956-4737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360-956-3540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3464</v>
      </c>
      <c r="G23" s="21">
        <f>data!D111</f>
        <v>12201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647</v>
      </c>
      <c r="G26" s="13">
        <f>data!D114</f>
        <v>1010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22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41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15</v>
      </c>
      <c r="E34" s="49" t="s">
        <v>291</v>
      </c>
      <c r="F34" s="24"/>
      <c r="G34" s="21">
        <f>data!E127</f>
        <v>88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7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Capital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1173</v>
      </c>
      <c r="C7" s="48">
        <f>data!B139</f>
        <v>5003</v>
      </c>
      <c r="D7" s="48">
        <f>data!B140</f>
        <v>20073</v>
      </c>
      <c r="E7" s="48">
        <f>data!B141</f>
        <v>81850848</v>
      </c>
      <c r="F7" s="48">
        <f>data!B142</f>
        <v>100321065</v>
      </c>
      <c r="G7" s="48">
        <f>data!B141+data!B142</f>
        <v>182171913</v>
      </c>
    </row>
    <row r="8" spans="1:13" ht="20.149999999999999" customHeight="1" x14ac:dyDescent="0.35">
      <c r="A8" s="23" t="s">
        <v>297</v>
      </c>
      <c r="B8" s="48">
        <f>data!C138</f>
        <v>89</v>
      </c>
      <c r="C8" s="48">
        <f>data!C139</f>
        <v>233</v>
      </c>
      <c r="D8" s="48">
        <f>data!C140</f>
        <v>737</v>
      </c>
      <c r="E8" s="48">
        <f>data!C141</f>
        <v>3666972</v>
      </c>
      <c r="F8" s="48">
        <f>data!C142</f>
        <v>4065600</v>
      </c>
      <c r="G8" s="48">
        <f>data!C141+data!C142</f>
        <v>7732572</v>
      </c>
    </row>
    <row r="9" spans="1:13" ht="20.149999999999999" customHeight="1" x14ac:dyDescent="0.35">
      <c r="A9" s="23" t="s">
        <v>1058</v>
      </c>
      <c r="B9" s="48">
        <f>data!D138</f>
        <v>2202</v>
      </c>
      <c r="C9" s="48">
        <f>data!D139</f>
        <v>6965</v>
      </c>
      <c r="D9" s="48">
        <f>data!D140</f>
        <v>41090</v>
      </c>
      <c r="E9" s="48">
        <f>data!D141</f>
        <v>123884782</v>
      </c>
      <c r="F9" s="48">
        <f>data!D142</f>
        <v>207397947</v>
      </c>
      <c r="G9" s="48">
        <f>data!D141+data!D142</f>
        <v>331282729</v>
      </c>
    </row>
    <row r="10" spans="1:13" ht="20.149999999999999" customHeight="1" x14ac:dyDescent="0.35">
      <c r="A10" s="111" t="s">
        <v>203</v>
      </c>
      <c r="B10" s="48">
        <f>data!E138</f>
        <v>3464</v>
      </c>
      <c r="C10" s="48">
        <f>data!E139</f>
        <v>12201</v>
      </c>
      <c r="D10" s="48">
        <f>data!E140</f>
        <v>61900</v>
      </c>
      <c r="E10" s="48">
        <f>data!E141</f>
        <v>209402602</v>
      </c>
      <c r="F10" s="48">
        <f>data!E142</f>
        <v>311784612</v>
      </c>
      <c r="G10" s="48">
        <f>data!E141+data!E142</f>
        <v>521187214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Capital Medical Center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2549495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180400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389751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2996157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-9648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442605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6548760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705922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2481128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3187050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587533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92966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680499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685198.48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3841514.13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4526712.6099999994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9985577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9985577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Capital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3160000</v>
      </c>
      <c r="D7" s="21">
        <f>data!C195</f>
        <v>0</v>
      </c>
      <c r="E7" s="21">
        <f>data!D195</f>
        <v>0</v>
      </c>
      <c r="F7" s="21">
        <f>data!E195</f>
        <v>3160000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710000</v>
      </c>
      <c r="D8" s="21">
        <f>data!C196</f>
        <v>0</v>
      </c>
      <c r="E8" s="21">
        <f>data!D196</f>
        <v>0</v>
      </c>
      <c r="F8" s="21">
        <f>data!E196</f>
        <v>710000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38437221</v>
      </c>
      <c r="D9" s="21">
        <f>data!C197</f>
        <v>0</v>
      </c>
      <c r="E9" s="21">
        <f>data!D197</f>
        <v>0</v>
      </c>
      <c r="F9" s="21">
        <f>data!E197</f>
        <v>38437221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21106338</v>
      </c>
      <c r="D11" s="21">
        <f>data!C199</f>
        <v>198687</v>
      </c>
      <c r="E11" s="21">
        <f>data!D199</f>
        <v>0</v>
      </c>
      <c r="F11" s="21">
        <f>data!E199</f>
        <v>21305025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13488264</v>
      </c>
      <c r="D12" s="21">
        <f>data!C200</f>
        <v>999268</v>
      </c>
      <c r="E12" s="21">
        <f>data!D200</f>
        <v>0</v>
      </c>
      <c r="F12" s="21">
        <f>data!E200</f>
        <v>14487532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7501032</v>
      </c>
      <c r="D13" s="21">
        <f>data!C201</f>
        <v>232683</v>
      </c>
      <c r="E13" s="21">
        <f>data!D201</f>
        <v>0</v>
      </c>
      <c r="F13" s="21">
        <f>data!E201</f>
        <v>7733715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4521546</v>
      </c>
      <c r="D14" s="21">
        <f>data!C202</f>
        <v>0</v>
      </c>
      <c r="E14" s="21">
        <f>data!D202</f>
        <v>0</v>
      </c>
      <c r="F14" s="21">
        <f>data!E202</f>
        <v>4521546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716299</v>
      </c>
      <c r="D15" s="21">
        <f>data!C203</f>
        <v>-224321</v>
      </c>
      <c r="E15" s="21">
        <f>data!D203</f>
        <v>0</v>
      </c>
      <c r="F15" s="21">
        <f>data!E203</f>
        <v>491978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89640700</v>
      </c>
      <c r="D16" s="21">
        <f>data!C204</f>
        <v>1206317</v>
      </c>
      <c r="E16" s="21">
        <f>data!D204</f>
        <v>0</v>
      </c>
      <c r="F16" s="21">
        <f>data!E204</f>
        <v>90847017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325415.67000000004</v>
      </c>
      <c r="D24" s="21">
        <f>data!C209</f>
        <v>88750</v>
      </c>
      <c r="E24" s="21">
        <f>data!D209</f>
        <v>0</v>
      </c>
      <c r="F24" s="21">
        <f>data!E209</f>
        <v>414165.67000000004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5982709.0199999996</v>
      </c>
      <c r="D25" s="21">
        <f>data!C210</f>
        <v>1736481</v>
      </c>
      <c r="E25" s="21">
        <f>data!D210</f>
        <v>0</v>
      </c>
      <c r="F25" s="21">
        <f>data!E210</f>
        <v>7719190.0199999996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2492505</v>
      </c>
      <c r="D27" s="21">
        <f>data!C212</f>
        <v>1047286</v>
      </c>
      <c r="E27" s="21">
        <f>data!D212</f>
        <v>0</v>
      </c>
      <c r="F27" s="21">
        <f>data!E212</f>
        <v>3539791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5953968.6699999999</v>
      </c>
      <c r="D28" s="21">
        <f>data!C213</f>
        <v>1809974</v>
      </c>
      <c r="E28" s="21">
        <f>data!D213</f>
        <v>0</v>
      </c>
      <c r="F28" s="21">
        <f>data!E213</f>
        <v>7763942.6699999999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2240201</v>
      </c>
      <c r="D29" s="21">
        <f>data!C214</f>
        <v>890133</v>
      </c>
      <c r="E29" s="21">
        <f>data!D214</f>
        <v>0</v>
      </c>
      <c r="F29" s="21">
        <f>data!E214</f>
        <v>3130334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1238528</v>
      </c>
      <c r="D30" s="21">
        <f>data!C215</f>
        <v>314554</v>
      </c>
      <c r="E30" s="21">
        <f>data!D215</f>
        <v>0</v>
      </c>
      <c r="F30" s="21">
        <f>data!E215</f>
        <v>1553082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18233327.359999999</v>
      </c>
      <c r="D32" s="21">
        <f>data!C217</f>
        <v>5887178</v>
      </c>
      <c r="E32" s="21">
        <f>data!D217</f>
        <v>0</v>
      </c>
      <c r="F32" s="21">
        <f>data!E217</f>
        <v>24120505.359999999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Capital Medical Center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3177120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156904983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3855869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4771351.76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14519253.59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248858145.51000002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428909602.86000001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1516817.16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2428432.4800000004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3945249.6400000006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436031972.5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Capital Medical Center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-887603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17529900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7172725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900763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102062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3763243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941621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15177261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3160000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710000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44944891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21305026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20235122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491978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90847017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24120505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66726512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448809.32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1871025.39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2319834.71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270898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270898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84494505.709999993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Capital Medical Center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4661498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3656642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994289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19876907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29189336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2118185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2118185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112469652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-52661580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59808072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59808072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-6621087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-6621087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84494506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Capital Medical Center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209402602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311762778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521165380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3177120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426334652.46999997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6474623.4299999997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45577.96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436031973.85999995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85133406.140000045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557924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557924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85691330.140000045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37106882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6548760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4805620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15014974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1157699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9602928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5898153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3187051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680499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4526713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9985577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6282172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104797028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-19105697.859999955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-19105697.859999955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-19105697.859999955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Capital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38191</v>
      </c>
      <c r="D9" s="14">
        <f>data!D59</f>
        <v>0</v>
      </c>
      <c r="E9" s="14">
        <f>data!E59</f>
        <v>5379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59.94</v>
      </c>
      <c r="D10" s="26">
        <f>data!D60</f>
        <v>0</v>
      </c>
      <c r="E10" s="26">
        <f>data!E60</f>
        <v>33.56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5264737</v>
      </c>
      <c r="D11" s="14">
        <f>data!D61</f>
        <v>0</v>
      </c>
      <c r="E11" s="14">
        <f>data!E61</f>
        <v>2878201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951046</v>
      </c>
      <c r="D12" s="14">
        <f>data!D62</f>
        <v>0</v>
      </c>
      <c r="E12" s="14">
        <f>data!E62</f>
        <v>520553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535170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340286</v>
      </c>
      <c r="D14" s="14">
        <f>data!D64</f>
        <v>0</v>
      </c>
      <c r="E14" s="14">
        <f>data!E64</f>
        <v>197712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35642</v>
      </c>
      <c r="D16" s="14">
        <f>data!D66</f>
        <v>0</v>
      </c>
      <c r="E16" s="14">
        <f>data!E66</f>
        <v>6013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319328</v>
      </c>
      <c r="D17" s="14">
        <f>data!D67</f>
        <v>0</v>
      </c>
      <c r="E17" s="14">
        <f>data!E67</f>
        <v>453634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68158</v>
      </c>
      <c r="D18" s="14">
        <f>data!D68</f>
        <v>0</v>
      </c>
      <c r="E18" s="14">
        <f>data!E68</f>
        <v>55036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197561</v>
      </c>
      <c r="D19" s="14">
        <f>data!D69</f>
        <v>0</v>
      </c>
      <c r="E19" s="14">
        <f>data!E69</f>
        <v>54031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7711928</v>
      </c>
      <c r="D21" s="14">
        <f>data!D71</f>
        <v>0</v>
      </c>
      <c r="E21" s="14">
        <f>data!E71</f>
        <v>4165180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5342471</v>
      </c>
      <c r="D23" s="48">
        <f>+data!M669</f>
        <v>0</v>
      </c>
      <c r="E23" s="48">
        <f>+data!M670</f>
        <v>4388536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32700503</v>
      </c>
      <c r="D24" s="14">
        <f>data!D73</f>
        <v>0</v>
      </c>
      <c r="E24" s="14">
        <f>data!E73</f>
        <v>12710831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1585886</v>
      </c>
      <c r="D25" s="14">
        <f>data!D74</f>
        <v>0</v>
      </c>
      <c r="E25" s="14">
        <f>data!E74</f>
        <v>1594664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34286389</v>
      </c>
      <c r="D26" s="14">
        <f>data!D75</f>
        <v>0</v>
      </c>
      <c r="E26" s="14">
        <f>data!E75</f>
        <v>14305495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8412</v>
      </c>
      <c r="D28" s="14">
        <f>data!D76</f>
        <v>0</v>
      </c>
      <c r="E28" s="14">
        <f>data!E76</f>
        <v>11950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18359.55</v>
      </c>
      <c r="D29" s="14">
        <f>data!D77</f>
        <v>0</v>
      </c>
      <c r="E29" s="14">
        <f>data!E77</f>
        <v>14556.97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2144</v>
      </c>
      <c r="D30" s="14">
        <f>data!D78</f>
        <v>0</v>
      </c>
      <c r="E30" s="14">
        <f>data!E78</f>
        <v>3046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65369</v>
      </c>
      <c r="D31" s="14">
        <f>data!D79</f>
        <v>0</v>
      </c>
      <c r="E31" s="14">
        <f>data!E79</f>
        <v>120703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47.9</v>
      </c>
      <c r="D32" s="84">
        <f>data!D80</f>
        <v>0</v>
      </c>
      <c r="E32" s="84">
        <f>data!E80</f>
        <v>27.9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Capital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1066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1298</v>
      </c>
      <c r="I41" s="14">
        <f>data!P59</f>
        <v>252863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22.32</v>
      </c>
      <c r="I42" s="26">
        <f>data!P60</f>
        <v>18.3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2517206</v>
      </c>
      <c r="I43" s="14">
        <f>data!P61</f>
        <v>1300874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456426</v>
      </c>
      <c r="I44" s="14">
        <f>data!P62</f>
        <v>235283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503008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84200</v>
      </c>
      <c r="I45" s="14">
        <f>data!P63</f>
        <v>201754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16202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216663</v>
      </c>
      <c r="I46" s="14">
        <f>data!P64</f>
        <v>1222557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75817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1167</v>
      </c>
      <c r="I48" s="14">
        <f>data!P66</f>
        <v>307696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27066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856210</v>
      </c>
      <c r="I49" s="14">
        <f>data!P67</f>
        <v>85754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133</v>
      </c>
      <c r="I50" s="14">
        <f>data!P68</f>
        <v>330384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1253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52491</v>
      </c>
      <c r="I51" s="14">
        <f>data!P69</f>
        <v>1004035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623346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4184496</v>
      </c>
      <c r="I53" s="14">
        <f>data!P71</f>
        <v>4688337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539112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16970</v>
      </c>
      <c r="H55" s="48">
        <f>+data!M680</f>
        <v>5168911</v>
      </c>
      <c r="I55" s="48">
        <f>+data!M681</f>
        <v>5074061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3635216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20369337</v>
      </c>
      <c r="I56" s="14">
        <f>data!P73</f>
        <v>51681044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2079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1194188</v>
      </c>
      <c r="I57" s="14">
        <f>data!P74</f>
        <v>57393805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3637295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21563525</v>
      </c>
      <c r="I58" s="14">
        <f>data!P75</f>
        <v>109074849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713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22555</v>
      </c>
      <c r="I60" s="14">
        <f>data!P76</f>
        <v>2259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3040.86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3817.63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182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5749</v>
      </c>
      <c r="I62" s="14">
        <f>data!P78</f>
        <v>576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431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53326</v>
      </c>
      <c r="I63" s="14">
        <f>data!P79</f>
        <v>76291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2.62</v>
      </c>
      <c r="H64" s="26">
        <f>data!O80</f>
        <v>19.46</v>
      </c>
      <c r="I64" s="26">
        <f>data!P80</f>
        <v>12.11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Capital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207782</v>
      </c>
      <c r="D73" s="48">
        <f>data!R59</f>
        <v>306348</v>
      </c>
      <c r="E73" s="212"/>
      <c r="F73" s="212"/>
      <c r="G73" s="14">
        <f>data!U59</f>
        <v>209106</v>
      </c>
      <c r="H73" s="14">
        <f>data!V59</f>
        <v>0</v>
      </c>
      <c r="I73" s="14">
        <f>data!W59</f>
        <v>812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5.27</v>
      </c>
      <c r="D74" s="26">
        <f>data!R60</f>
        <v>1.61</v>
      </c>
      <c r="E74" s="26">
        <f>data!S60</f>
        <v>12.09</v>
      </c>
      <c r="F74" s="26">
        <f>data!T60</f>
        <v>0</v>
      </c>
      <c r="G74" s="26">
        <f>data!U60</f>
        <v>19.37</v>
      </c>
      <c r="H74" s="26">
        <f>data!V60</f>
        <v>0</v>
      </c>
      <c r="I74" s="26">
        <f>data!W60</f>
        <v>1.22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740633</v>
      </c>
      <c r="D75" s="14">
        <f>data!R61</f>
        <v>136839</v>
      </c>
      <c r="E75" s="14">
        <f>data!S61</f>
        <v>386098</v>
      </c>
      <c r="F75" s="14">
        <f>data!T61</f>
        <v>0</v>
      </c>
      <c r="G75" s="14">
        <f>data!U61</f>
        <v>1489093</v>
      </c>
      <c r="H75" s="14">
        <f>data!V61</f>
        <v>0</v>
      </c>
      <c r="I75" s="14">
        <f>data!W61</f>
        <v>152918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134671</v>
      </c>
      <c r="D76" s="14">
        <f>data!R62</f>
        <v>24138</v>
      </c>
      <c r="E76" s="14">
        <f>data!S62</f>
        <v>69773</v>
      </c>
      <c r="F76" s="14">
        <f>data!T62</f>
        <v>0</v>
      </c>
      <c r="G76" s="14">
        <f>data!U62</f>
        <v>269338</v>
      </c>
      <c r="H76" s="14">
        <f>data!V62</f>
        <v>0</v>
      </c>
      <c r="I76" s="14">
        <f>data!W62</f>
        <v>27279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1249867</v>
      </c>
      <c r="E77" s="14">
        <f>data!S63</f>
        <v>0</v>
      </c>
      <c r="F77" s="14">
        <f>data!T63</f>
        <v>0</v>
      </c>
      <c r="G77" s="14">
        <f>data!U63</f>
        <v>19107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19621</v>
      </c>
      <c r="D78" s="14">
        <f>data!R64</f>
        <v>63289</v>
      </c>
      <c r="E78" s="14">
        <f>data!S64</f>
        <v>335893</v>
      </c>
      <c r="F78" s="14">
        <f>data!T64</f>
        <v>0</v>
      </c>
      <c r="G78" s="14">
        <f>data!U64</f>
        <v>1120469</v>
      </c>
      <c r="H78" s="14">
        <f>data!V64</f>
        <v>0</v>
      </c>
      <c r="I78" s="14">
        <f>data!W64</f>
        <v>4408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26309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2</v>
      </c>
      <c r="D80" s="14">
        <f>data!R66</f>
        <v>13</v>
      </c>
      <c r="E80" s="14">
        <f>data!S66</f>
        <v>533425</v>
      </c>
      <c r="F80" s="14">
        <f>data!T66</f>
        <v>0</v>
      </c>
      <c r="G80" s="14">
        <f>data!U66</f>
        <v>501063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109024</v>
      </c>
      <c r="D81" s="14">
        <f>data!R67</f>
        <v>13021</v>
      </c>
      <c r="E81" s="14">
        <f>data!S67</f>
        <v>109593</v>
      </c>
      <c r="F81" s="14">
        <f>data!T67</f>
        <v>0</v>
      </c>
      <c r="G81" s="14">
        <f>data!U67</f>
        <v>104165</v>
      </c>
      <c r="H81" s="14">
        <f>data!V67</f>
        <v>0</v>
      </c>
      <c r="I81" s="14">
        <f>data!W67</f>
        <v>33482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123809</v>
      </c>
      <c r="E82" s="14">
        <f>data!S68</f>
        <v>813264</v>
      </c>
      <c r="F82" s="14">
        <f>data!T68</f>
        <v>0</v>
      </c>
      <c r="G82" s="14">
        <f>data!U68</f>
        <v>167418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24256</v>
      </c>
      <c r="D83" s="14">
        <f>data!R69</f>
        <v>17751</v>
      </c>
      <c r="E83" s="14">
        <f>data!S69</f>
        <v>1225641</v>
      </c>
      <c r="F83" s="14">
        <f>data!T69</f>
        <v>0</v>
      </c>
      <c r="G83" s="14">
        <f>data!U69</f>
        <v>143886</v>
      </c>
      <c r="H83" s="14">
        <f>data!V69</f>
        <v>0</v>
      </c>
      <c r="I83" s="14">
        <f>data!W69</f>
        <v>95098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1028207</v>
      </c>
      <c r="D85" s="14">
        <f>data!R71</f>
        <v>1628727</v>
      </c>
      <c r="E85" s="14">
        <f>data!S71</f>
        <v>3499996</v>
      </c>
      <c r="F85" s="14">
        <f>data!T71</f>
        <v>0</v>
      </c>
      <c r="G85" s="14">
        <f>data!U71</f>
        <v>3814539</v>
      </c>
      <c r="H85" s="14">
        <f>data!V71</f>
        <v>0</v>
      </c>
      <c r="I85" s="14">
        <f>data!W71</f>
        <v>313185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964991</v>
      </c>
      <c r="D87" s="48">
        <f>+data!M683</f>
        <v>540594</v>
      </c>
      <c r="E87" s="48">
        <f>+data!M684</f>
        <v>1338033</v>
      </c>
      <c r="F87" s="48">
        <f>+data!M685</f>
        <v>0</v>
      </c>
      <c r="G87" s="48">
        <f>+data!M686</f>
        <v>3517076</v>
      </c>
      <c r="H87" s="48">
        <f>+data!M687</f>
        <v>0</v>
      </c>
      <c r="I87" s="48">
        <f>+data!M688</f>
        <v>297092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5548716</v>
      </c>
      <c r="D88" s="14">
        <f>data!R73</f>
        <v>3935103</v>
      </c>
      <c r="E88" s="14">
        <f>data!S73</f>
        <v>0</v>
      </c>
      <c r="F88" s="14">
        <f>data!T73</f>
        <v>0</v>
      </c>
      <c r="G88" s="14">
        <f>data!U73</f>
        <v>21110852</v>
      </c>
      <c r="H88" s="14">
        <f>data!V73</f>
        <v>0</v>
      </c>
      <c r="I88" s="14">
        <f>data!W73</f>
        <v>1706816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11258177</v>
      </c>
      <c r="D89" s="14">
        <f>data!R74</f>
        <v>6964154</v>
      </c>
      <c r="E89" s="14">
        <f>data!S74</f>
        <v>0</v>
      </c>
      <c r="F89" s="14">
        <f>data!T74</f>
        <v>0</v>
      </c>
      <c r="G89" s="14">
        <f>data!U74</f>
        <v>20787358</v>
      </c>
      <c r="H89" s="14">
        <f>data!V74</f>
        <v>0</v>
      </c>
      <c r="I89" s="14">
        <f>data!W74</f>
        <v>3718490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16806893</v>
      </c>
      <c r="D90" s="14">
        <f>data!R75</f>
        <v>10899257</v>
      </c>
      <c r="E90" s="14">
        <f>data!S75</f>
        <v>0</v>
      </c>
      <c r="F90" s="14">
        <f>data!T75</f>
        <v>0</v>
      </c>
      <c r="G90" s="14">
        <f>data!U75</f>
        <v>41898210</v>
      </c>
      <c r="H90" s="14">
        <f>data!V75</f>
        <v>0</v>
      </c>
      <c r="I90" s="14">
        <f>data!W75</f>
        <v>5425306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2872</v>
      </c>
      <c r="D92" s="14">
        <f>data!R76</f>
        <v>343</v>
      </c>
      <c r="E92" s="14">
        <f>data!S76</f>
        <v>2887</v>
      </c>
      <c r="F92" s="14">
        <f>data!T76</f>
        <v>0</v>
      </c>
      <c r="G92" s="14">
        <f>data!U76</f>
        <v>2744</v>
      </c>
      <c r="H92" s="14">
        <f>data!V76</f>
        <v>0</v>
      </c>
      <c r="I92" s="14">
        <f>data!W76</f>
        <v>882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732</v>
      </c>
      <c r="D94" s="14">
        <f>data!R78</f>
        <v>87</v>
      </c>
      <c r="E94" s="14">
        <f>data!S78</f>
        <v>736</v>
      </c>
      <c r="F94" s="14">
        <f>data!T78</f>
        <v>0</v>
      </c>
      <c r="G94" s="14">
        <f>data!U78</f>
        <v>699</v>
      </c>
      <c r="H94" s="14">
        <f>data!V78</f>
        <v>0</v>
      </c>
      <c r="I94" s="14">
        <f>data!W78</f>
        <v>225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2404</v>
      </c>
      <c r="H95" s="14">
        <f>data!V79</f>
        <v>0</v>
      </c>
      <c r="I95" s="14">
        <f>data!W79</f>
        <v>3934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4.1100000000000003</v>
      </c>
      <c r="D96" s="84">
        <f>data!R80</f>
        <v>1.29</v>
      </c>
      <c r="E96" s="84">
        <f>data!S80</f>
        <v>5.96</v>
      </c>
      <c r="F96" s="84">
        <f>data!T80</f>
        <v>0</v>
      </c>
      <c r="G96" s="84">
        <f>data!U80</f>
        <v>17.350000000000001</v>
      </c>
      <c r="H96" s="84">
        <f>data!V80</f>
        <v>0</v>
      </c>
      <c r="I96" s="84">
        <f>data!W80</f>
        <v>1.08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Capital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15832</v>
      </c>
      <c r="D105" s="14">
        <f>data!Y59</f>
        <v>25113</v>
      </c>
      <c r="E105" s="14">
        <f>data!Z59</f>
        <v>15433</v>
      </c>
      <c r="F105" s="14">
        <f>data!AA59</f>
        <v>1077</v>
      </c>
      <c r="G105" s="212"/>
      <c r="H105" s="14">
        <f>data!AC59</f>
        <v>16963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4.79</v>
      </c>
      <c r="D106" s="26">
        <f>data!Y60</f>
        <v>28.33</v>
      </c>
      <c r="E106" s="26">
        <f>data!Z60</f>
        <v>5.86</v>
      </c>
      <c r="F106" s="26">
        <f>data!AA60</f>
        <v>1.1599999999999999</v>
      </c>
      <c r="G106" s="26">
        <f>data!AB60</f>
        <v>11.87</v>
      </c>
      <c r="H106" s="26">
        <f>data!AC60</f>
        <v>10.65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458413</v>
      </c>
      <c r="D107" s="14">
        <f>data!Y61</f>
        <v>2905878</v>
      </c>
      <c r="E107" s="14">
        <f>data!Z61</f>
        <v>575882</v>
      </c>
      <c r="F107" s="14">
        <f>data!AA61</f>
        <v>165513</v>
      </c>
      <c r="G107" s="14">
        <f>data!AB61</f>
        <v>1242895</v>
      </c>
      <c r="H107" s="14">
        <f>data!AC61</f>
        <v>941878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82934</v>
      </c>
      <c r="D108" s="14">
        <f>data!Y62</f>
        <v>516111</v>
      </c>
      <c r="E108" s="14">
        <f>data!Z62</f>
        <v>104036</v>
      </c>
      <c r="F108" s="14">
        <f>data!AA62</f>
        <v>30125</v>
      </c>
      <c r="G108" s="14">
        <f>data!AB62</f>
        <v>224280</v>
      </c>
      <c r="H108" s="14">
        <f>data!AC62</f>
        <v>170422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254025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32058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56763</v>
      </c>
      <c r="D110" s="14">
        <f>data!Y64</f>
        <v>84967</v>
      </c>
      <c r="E110" s="14">
        <f>data!Z64</f>
        <v>28954</v>
      </c>
      <c r="F110" s="14">
        <f>data!AA64</f>
        <v>24978</v>
      </c>
      <c r="G110" s="14">
        <f>data!AB64</f>
        <v>1416552</v>
      </c>
      <c r="H110" s="14">
        <f>data!AC64</f>
        <v>78314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8530</v>
      </c>
      <c r="D111" s="14">
        <f>data!Y65</f>
        <v>73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476880</v>
      </c>
      <c r="D112" s="14">
        <f>data!Y66</f>
        <v>6795</v>
      </c>
      <c r="E112" s="14">
        <f>data!Z66</f>
        <v>410002</v>
      </c>
      <c r="F112" s="14">
        <f>data!AA66</f>
        <v>995</v>
      </c>
      <c r="G112" s="14">
        <f>data!AB66</f>
        <v>70746</v>
      </c>
      <c r="H112" s="14">
        <f>data!AC66</f>
        <v>4148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227159</v>
      </c>
      <c r="D113" s="14">
        <f>data!Y67</f>
        <v>533770</v>
      </c>
      <c r="E113" s="14">
        <f>data!Z67</f>
        <v>191096</v>
      </c>
      <c r="F113" s="14">
        <f>data!AA67</f>
        <v>13818</v>
      </c>
      <c r="G113" s="14">
        <f>data!AB67</f>
        <v>47755</v>
      </c>
      <c r="H113" s="14">
        <f>data!AC67</f>
        <v>160765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625257</v>
      </c>
      <c r="D114" s="14">
        <f>data!Y68</f>
        <v>11082</v>
      </c>
      <c r="E114" s="14">
        <f>data!Z68</f>
        <v>1369</v>
      </c>
      <c r="F114" s="14">
        <f>data!AA68</f>
        <v>0</v>
      </c>
      <c r="G114" s="14">
        <f>data!AB68</f>
        <v>238320</v>
      </c>
      <c r="H114" s="14">
        <f>data!AC68</f>
        <v>131065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283319</v>
      </c>
      <c r="D115" s="14">
        <f>data!Y69</f>
        <v>798304</v>
      </c>
      <c r="E115" s="14">
        <f>data!Z69</f>
        <v>296037</v>
      </c>
      <c r="F115" s="14">
        <f>data!AA69</f>
        <v>25815</v>
      </c>
      <c r="G115" s="14">
        <f>data!AB69</f>
        <v>58761</v>
      </c>
      <c r="H115" s="14">
        <f>data!AC69</f>
        <v>48659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2219255</v>
      </c>
      <c r="D117" s="14">
        <f>data!Y71</f>
        <v>5111005</v>
      </c>
      <c r="E117" s="14">
        <f>data!Z71</f>
        <v>1607376</v>
      </c>
      <c r="F117" s="14">
        <f>data!AA71</f>
        <v>261244</v>
      </c>
      <c r="G117" s="14">
        <f>data!AB71</f>
        <v>3299309</v>
      </c>
      <c r="H117" s="14">
        <f>data!AC71</f>
        <v>1567309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2852717</v>
      </c>
      <c r="D119" s="48">
        <f>+data!M690</f>
        <v>3939517</v>
      </c>
      <c r="E119" s="48">
        <f>+data!M691</f>
        <v>1917993</v>
      </c>
      <c r="F119" s="48">
        <f>+data!M692</f>
        <v>187656</v>
      </c>
      <c r="G119" s="48">
        <f>+data!M693</f>
        <v>3126067</v>
      </c>
      <c r="H119" s="48">
        <f>+data!M694</f>
        <v>1214585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11121100</v>
      </c>
      <c r="D120" s="14">
        <f>data!Y73</f>
        <v>14559218</v>
      </c>
      <c r="E120" s="14">
        <f>data!Z73</f>
        <v>271768</v>
      </c>
      <c r="F120" s="14">
        <f>data!AA73</f>
        <v>689862</v>
      </c>
      <c r="G120" s="14">
        <f>data!AB73</f>
        <v>10275948</v>
      </c>
      <c r="H120" s="14">
        <f>data!AC73</f>
        <v>6254717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63781367</v>
      </c>
      <c r="D121" s="14">
        <f>data!Y74</f>
        <v>30126013</v>
      </c>
      <c r="E121" s="14">
        <f>data!Z74</f>
        <v>42079429</v>
      </c>
      <c r="F121" s="14">
        <f>data!AA74</f>
        <v>2136124</v>
      </c>
      <c r="G121" s="14">
        <f>data!AB74</f>
        <v>8293451</v>
      </c>
      <c r="H121" s="14">
        <f>data!AC74</f>
        <v>3714406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74902467</v>
      </c>
      <c r="D122" s="14">
        <f>data!Y75</f>
        <v>44685231</v>
      </c>
      <c r="E122" s="14">
        <f>data!Z75</f>
        <v>42351197</v>
      </c>
      <c r="F122" s="14">
        <f>data!AA75</f>
        <v>2825986</v>
      </c>
      <c r="G122" s="14">
        <f>data!AB75</f>
        <v>18569399</v>
      </c>
      <c r="H122" s="14">
        <f>data!AC75</f>
        <v>9969123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5984</v>
      </c>
      <c r="D124" s="14">
        <f>data!Y76</f>
        <v>14061</v>
      </c>
      <c r="E124" s="14">
        <f>data!Z76</f>
        <v>5034</v>
      </c>
      <c r="F124" s="14">
        <f>data!AA76</f>
        <v>364</v>
      </c>
      <c r="G124" s="14">
        <f>data!AB76</f>
        <v>1258</v>
      </c>
      <c r="H124" s="14">
        <f>data!AC76</f>
        <v>4235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1525</v>
      </c>
      <c r="D126" s="14">
        <f>data!Y78</f>
        <v>3584</v>
      </c>
      <c r="E126" s="14">
        <f>data!Z78</f>
        <v>1283</v>
      </c>
      <c r="F126" s="14">
        <f>data!AA78</f>
        <v>93</v>
      </c>
      <c r="G126" s="14">
        <f>data!AB78</f>
        <v>321</v>
      </c>
      <c r="H126" s="14">
        <f>data!AC78</f>
        <v>1079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5910</v>
      </c>
      <c r="D127" s="14">
        <f>data!Y79</f>
        <v>34642</v>
      </c>
      <c r="E127" s="14">
        <f>data!Z79</f>
        <v>0</v>
      </c>
      <c r="F127" s="14">
        <f>data!AA79</f>
        <v>1164</v>
      </c>
      <c r="G127" s="14">
        <f>data!AB79</f>
        <v>10670</v>
      </c>
      <c r="H127" s="14">
        <f>data!AC79</f>
        <v>2389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4.7300000000000004</v>
      </c>
      <c r="D128" s="26">
        <f>data!Y80</f>
        <v>23.48</v>
      </c>
      <c r="E128" s="26">
        <f>data!Z80</f>
        <v>5</v>
      </c>
      <c r="F128" s="26">
        <f>data!AA80</f>
        <v>1.05</v>
      </c>
      <c r="G128" s="26">
        <f>data!AB80</f>
        <v>10.58</v>
      </c>
      <c r="H128" s="26">
        <f>data!AC80</f>
        <v>9.3800000000000008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Capital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19366</v>
      </c>
      <c r="D137" s="14">
        <f>data!AF59</f>
        <v>0</v>
      </c>
      <c r="E137" s="14">
        <f>data!AG59</f>
        <v>15301</v>
      </c>
      <c r="F137" s="14">
        <f>data!AH59</f>
        <v>0</v>
      </c>
      <c r="G137" s="14">
        <f>data!AI59</f>
        <v>7280</v>
      </c>
      <c r="H137" s="14">
        <f>data!AJ59</f>
        <v>0</v>
      </c>
      <c r="I137" s="14">
        <f>data!AK59</f>
        <v>2715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7.67</v>
      </c>
      <c r="D138" s="26">
        <f>data!AF60</f>
        <v>0</v>
      </c>
      <c r="E138" s="26">
        <f>data!AG60</f>
        <v>22.17</v>
      </c>
      <c r="F138" s="26">
        <f>data!AH60</f>
        <v>0</v>
      </c>
      <c r="G138" s="26">
        <f>data!AI60</f>
        <v>16.100000000000001</v>
      </c>
      <c r="H138" s="26">
        <f>data!AJ60</f>
        <v>0</v>
      </c>
      <c r="I138" s="26">
        <f>data!AK60</f>
        <v>0.54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609066</v>
      </c>
      <c r="D139" s="14">
        <f>data!AF61</f>
        <v>0</v>
      </c>
      <c r="E139" s="14">
        <f>data!AG61</f>
        <v>2561720</v>
      </c>
      <c r="F139" s="14">
        <f>data!AH61</f>
        <v>0</v>
      </c>
      <c r="G139" s="14">
        <f>data!AI61</f>
        <v>1542406</v>
      </c>
      <c r="H139" s="14">
        <f>data!AJ61</f>
        <v>0</v>
      </c>
      <c r="I139" s="14">
        <f>data!AK61</f>
        <v>63002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109857</v>
      </c>
      <c r="D140" s="14">
        <f>data!AF62</f>
        <v>0</v>
      </c>
      <c r="E140" s="14">
        <f>data!AG62</f>
        <v>457706</v>
      </c>
      <c r="F140" s="14">
        <f>data!AH62</f>
        <v>0</v>
      </c>
      <c r="G140" s="14">
        <f>data!AI62</f>
        <v>277242</v>
      </c>
      <c r="H140" s="14">
        <f>data!AJ62</f>
        <v>0</v>
      </c>
      <c r="I140" s="14">
        <f>data!AK62</f>
        <v>11589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181723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6559</v>
      </c>
      <c r="D142" s="14">
        <f>data!AF64</f>
        <v>0</v>
      </c>
      <c r="E142" s="14">
        <f>data!AG64</f>
        <v>238513</v>
      </c>
      <c r="F142" s="14">
        <f>data!AH64</f>
        <v>0</v>
      </c>
      <c r="G142" s="14">
        <f>data!AI64</f>
        <v>270991</v>
      </c>
      <c r="H142" s="14">
        <f>data!AJ64</f>
        <v>0</v>
      </c>
      <c r="I142" s="14">
        <f>data!AK64</f>
        <v>2478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2686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256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13707</v>
      </c>
      <c r="D144" s="14">
        <f>data!AF66</f>
        <v>0</v>
      </c>
      <c r="E144" s="14">
        <f>data!AG66</f>
        <v>47212</v>
      </c>
      <c r="F144" s="14">
        <f>data!AH66</f>
        <v>0</v>
      </c>
      <c r="G144" s="14">
        <f>data!AI66</f>
        <v>1016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159930</v>
      </c>
      <c r="D145" s="14">
        <f>data!AF67</f>
        <v>0</v>
      </c>
      <c r="E145" s="14">
        <f>data!AG67</f>
        <v>161258</v>
      </c>
      <c r="F145" s="14">
        <f>data!AH67</f>
        <v>0</v>
      </c>
      <c r="G145" s="14">
        <f>data!AI67</f>
        <v>189008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89870</v>
      </c>
      <c r="D146" s="14">
        <f>data!AF68</f>
        <v>0</v>
      </c>
      <c r="E146" s="14">
        <f>data!AG68</f>
        <v>8009</v>
      </c>
      <c r="F146" s="14">
        <f>data!AH68</f>
        <v>0</v>
      </c>
      <c r="G146" s="14">
        <f>data!AI68</f>
        <v>2</v>
      </c>
      <c r="H146" s="14">
        <f>data!AJ68</f>
        <v>0</v>
      </c>
      <c r="I146" s="14">
        <f>data!AK68</f>
        <v>5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44194</v>
      </c>
      <c r="D147" s="14">
        <f>data!AF69</f>
        <v>0</v>
      </c>
      <c r="E147" s="14">
        <f>data!AG69</f>
        <v>127496</v>
      </c>
      <c r="F147" s="14">
        <f>data!AH69</f>
        <v>0</v>
      </c>
      <c r="G147" s="14">
        <f>data!AI69</f>
        <v>79418</v>
      </c>
      <c r="H147" s="14">
        <f>data!AJ69</f>
        <v>0</v>
      </c>
      <c r="I147" s="14">
        <f>data!AK69</f>
        <v>103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1035869</v>
      </c>
      <c r="D149" s="14">
        <f>data!AF71</f>
        <v>0</v>
      </c>
      <c r="E149" s="14">
        <f>data!AG71</f>
        <v>3783637</v>
      </c>
      <c r="F149" s="14">
        <f>data!AH71</f>
        <v>0</v>
      </c>
      <c r="G149" s="14">
        <f>data!AI71</f>
        <v>2360083</v>
      </c>
      <c r="H149" s="14">
        <f>data!AJ71</f>
        <v>0</v>
      </c>
      <c r="I149" s="14">
        <f>data!AK71</f>
        <v>77433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891368</v>
      </c>
      <c r="D151" s="48">
        <f>+data!M697</f>
        <v>0</v>
      </c>
      <c r="E151" s="48">
        <f>+data!M698</f>
        <v>2542526</v>
      </c>
      <c r="F151" s="48">
        <f>+data!M699</f>
        <v>0</v>
      </c>
      <c r="G151" s="48">
        <f>+data!M700</f>
        <v>1681595</v>
      </c>
      <c r="H151" s="48">
        <f>+data!M701</f>
        <v>0</v>
      </c>
      <c r="I151" s="48">
        <f>+data!M702</f>
        <v>28109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1509470</v>
      </c>
      <c r="D152" s="14">
        <f>data!AF73</f>
        <v>0</v>
      </c>
      <c r="E152" s="14">
        <f>data!AG73</f>
        <v>9600071</v>
      </c>
      <c r="F152" s="14">
        <f>data!AH73</f>
        <v>0</v>
      </c>
      <c r="G152" s="14">
        <f>data!AI73</f>
        <v>1259027</v>
      </c>
      <c r="H152" s="14">
        <f>data!AJ73</f>
        <v>0</v>
      </c>
      <c r="I152" s="14">
        <f>data!AK73</f>
        <v>316968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2124245</v>
      </c>
      <c r="D153" s="14">
        <f>data!AF74</f>
        <v>0</v>
      </c>
      <c r="E153" s="14">
        <f>data!AG74</f>
        <v>37299525</v>
      </c>
      <c r="F153" s="14">
        <f>data!AH74</f>
        <v>0</v>
      </c>
      <c r="G153" s="14">
        <f>data!AI74</f>
        <v>6273872</v>
      </c>
      <c r="H153" s="14">
        <f>data!AJ74</f>
        <v>0</v>
      </c>
      <c r="I153" s="14">
        <f>data!AK74</f>
        <v>266417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3633715</v>
      </c>
      <c r="D154" s="14">
        <f>data!AF75</f>
        <v>0</v>
      </c>
      <c r="E154" s="14">
        <f>data!AG75</f>
        <v>46899596</v>
      </c>
      <c r="F154" s="14">
        <f>data!AH75</f>
        <v>0</v>
      </c>
      <c r="G154" s="14">
        <f>data!AI75</f>
        <v>7532899</v>
      </c>
      <c r="H154" s="14">
        <f>data!AJ75</f>
        <v>0</v>
      </c>
      <c r="I154" s="14">
        <f>data!AK75</f>
        <v>583385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4213</v>
      </c>
      <c r="D156" s="14">
        <f>data!AF76</f>
        <v>0</v>
      </c>
      <c r="E156" s="14">
        <f>data!AG76</f>
        <v>4248</v>
      </c>
      <c r="F156" s="14">
        <f>data!AH76</f>
        <v>0</v>
      </c>
      <c r="G156" s="14">
        <f>data!AI76</f>
        <v>4979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1074</v>
      </c>
      <c r="D158" s="14">
        <f>data!AF78</f>
        <v>0</v>
      </c>
      <c r="E158" s="14">
        <f>data!AG78</f>
        <v>1083</v>
      </c>
      <c r="F158" s="14">
        <f>data!AH78</f>
        <v>0</v>
      </c>
      <c r="G158" s="14">
        <f>data!AI78</f>
        <v>1269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5177</v>
      </c>
      <c r="D159" s="14">
        <f>data!AF79</f>
        <v>0</v>
      </c>
      <c r="E159" s="14">
        <f>data!AG79</f>
        <v>43803</v>
      </c>
      <c r="F159" s="14">
        <f>data!AH79</f>
        <v>0</v>
      </c>
      <c r="G159" s="14">
        <f>data!AI79</f>
        <v>31081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6.23</v>
      </c>
      <c r="D160" s="26">
        <f>data!AF80</f>
        <v>0</v>
      </c>
      <c r="E160" s="26">
        <f>data!AG80</f>
        <v>19.37</v>
      </c>
      <c r="F160" s="26">
        <f>data!AH80</f>
        <v>0</v>
      </c>
      <c r="G160" s="26">
        <f>data!AI80</f>
        <v>13.65</v>
      </c>
      <c r="H160" s="26">
        <f>data!AJ80</f>
        <v>0</v>
      </c>
      <c r="I160" s="26">
        <f>data!AK80</f>
        <v>0.54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Capital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798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0.44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56145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56145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14271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139600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237022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376622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Capital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39775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11.680000000000001</v>
      </c>
      <c r="G202" s="26">
        <f>data!AW60</f>
        <v>0</v>
      </c>
      <c r="H202" s="26">
        <f>data!AX60</f>
        <v>0</v>
      </c>
      <c r="I202" s="26">
        <f>data!AY60</f>
        <v>18.3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1146464</v>
      </c>
      <c r="G203" s="14">
        <f>data!AW61</f>
        <v>0</v>
      </c>
      <c r="H203" s="14">
        <f>data!AX61</f>
        <v>0</v>
      </c>
      <c r="I203" s="14">
        <f>data!AY61</f>
        <v>932104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196689</v>
      </c>
      <c r="G204" s="14">
        <f>data!AW62</f>
        <v>0</v>
      </c>
      <c r="H204" s="14">
        <f>data!AX62</f>
        <v>0</v>
      </c>
      <c r="I204" s="14">
        <f>data!AY62</f>
        <v>167175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1644973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269935</v>
      </c>
      <c r="G206" s="14">
        <f>data!AW64</f>
        <v>0</v>
      </c>
      <c r="H206" s="14">
        <f>data!AX64</f>
        <v>0</v>
      </c>
      <c r="I206" s="14">
        <f>data!AY64</f>
        <v>493968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664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1441459</v>
      </c>
      <c r="G208" s="14">
        <f>data!AW66</f>
        <v>0</v>
      </c>
      <c r="H208" s="14">
        <f>data!AX66</f>
        <v>0</v>
      </c>
      <c r="I208" s="14">
        <f>data!AY66</f>
        <v>5021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207988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11667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33229</v>
      </c>
      <c r="G211" s="14">
        <f>data!AW69</f>
        <v>0</v>
      </c>
      <c r="H211" s="14">
        <f>data!AX69</f>
        <v>0</v>
      </c>
      <c r="I211" s="14">
        <f>data!AY69</f>
        <v>60173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4745080</v>
      </c>
      <c r="G213" s="14">
        <f>data!AW71</f>
        <v>0</v>
      </c>
      <c r="H213" s="14">
        <f>data!AX71</f>
        <v>0</v>
      </c>
      <c r="I213" s="14">
        <f>data!AY71</f>
        <v>1866429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2587140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6437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10932112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10938549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5479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11460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1279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124.71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Capital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155374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7.2899999999999991</v>
      </c>
      <c r="F234" s="26">
        <f>data!BC60</f>
        <v>0</v>
      </c>
      <c r="G234" s="26">
        <f>data!BD60</f>
        <v>6.8</v>
      </c>
      <c r="H234" s="26">
        <f>data!BE60</f>
        <v>12.57</v>
      </c>
      <c r="I234" s="26">
        <f>data!BF60</f>
        <v>18.940000000000001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683915</v>
      </c>
      <c r="F235" s="14">
        <f>data!BC61</f>
        <v>0</v>
      </c>
      <c r="G235" s="14">
        <f>data!BD61</f>
        <v>427177</v>
      </c>
      <c r="H235" s="14">
        <f>data!BE61</f>
        <v>792180</v>
      </c>
      <c r="I235" s="14">
        <f>data!BF61</f>
        <v>793556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122587</v>
      </c>
      <c r="F236" s="14">
        <f>data!BC62</f>
        <v>0</v>
      </c>
      <c r="G236" s="14">
        <f>data!BD62</f>
        <v>76823</v>
      </c>
      <c r="H236" s="14">
        <f>data!BE62</f>
        <v>142410</v>
      </c>
      <c r="I236" s="14">
        <f>data!BF62</f>
        <v>143657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54996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3621</v>
      </c>
      <c r="F238" s="14">
        <f>data!BC64</f>
        <v>0</v>
      </c>
      <c r="G238" s="14">
        <f>data!BD64</f>
        <v>8235286</v>
      </c>
      <c r="H238" s="14">
        <f>data!BE64</f>
        <v>-3806</v>
      </c>
      <c r="I238" s="14">
        <f>data!BF64</f>
        <v>105702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883171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60333</v>
      </c>
      <c r="F240" s="14">
        <f>data!BC66</f>
        <v>0</v>
      </c>
      <c r="G240" s="14">
        <f>data!BD66</f>
        <v>17374</v>
      </c>
      <c r="H240" s="14">
        <f>data!BE66</f>
        <v>143530</v>
      </c>
      <c r="I240" s="14">
        <f>data!BF66</f>
        <v>536120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28091</v>
      </c>
      <c r="F241" s="14">
        <f>data!BC67</f>
        <v>0</v>
      </c>
      <c r="G241" s="14">
        <f>data!BD67</f>
        <v>97370</v>
      </c>
      <c r="H241" s="14">
        <f>data!BE67</f>
        <v>1026390</v>
      </c>
      <c r="I241" s="14">
        <f>data!BF67</f>
        <v>86893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53</v>
      </c>
      <c r="F242" s="14">
        <f>data!BC68</f>
        <v>0</v>
      </c>
      <c r="G242" s="14">
        <f>data!BD68</f>
        <v>3027</v>
      </c>
      <c r="H242" s="14">
        <f>data!BE68</f>
        <v>1602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59949</v>
      </c>
      <c r="F243" s="14">
        <f>data!BC69</f>
        <v>0</v>
      </c>
      <c r="G243" s="14">
        <f>data!BD69</f>
        <v>166948</v>
      </c>
      <c r="H243" s="14">
        <f>data!BE69</f>
        <v>469202</v>
      </c>
      <c r="I243" s="14">
        <f>data!BF69</f>
        <v>5602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1013545</v>
      </c>
      <c r="F245" s="14">
        <f>data!BC71</f>
        <v>0</v>
      </c>
      <c r="G245" s="14">
        <f>data!BD71</f>
        <v>9024005</v>
      </c>
      <c r="H245" s="14">
        <f>data!BE71</f>
        <v>3454679</v>
      </c>
      <c r="I245" s="14">
        <f>data!BF71</f>
        <v>1671530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740</v>
      </c>
      <c r="F252" s="85">
        <f>data!BC76</f>
        <v>0</v>
      </c>
      <c r="G252" s="85">
        <f>data!BD76</f>
        <v>2565</v>
      </c>
      <c r="H252" s="85">
        <f>data!BE76</f>
        <v>27038</v>
      </c>
      <c r="I252" s="85">
        <f>data!BF76</f>
        <v>2289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189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Capital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2.38</v>
      </c>
      <c r="D266" s="26">
        <f>data!BH60</f>
        <v>4.91</v>
      </c>
      <c r="E266" s="26">
        <f>data!BI60</f>
        <v>0</v>
      </c>
      <c r="F266" s="26">
        <f>data!BJ60</f>
        <v>3.76</v>
      </c>
      <c r="G266" s="26">
        <f>data!BK60</f>
        <v>0</v>
      </c>
      <c r="H266" s="26">
        <f>data!BL60</f>
        <v>18.869999999999997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91966</v>
      </c>
      <c r="D267" s="14">
        <f>data!BH61</f>
        <v>420702</v>
      </c>
      <c r="E267" s="14">
        <f>data!BI61</f>
        <v>0</v>
      </c>
      <c r="F267" s="14">
        <f>data!BJ61</f>
        <v>228222</v>
      </c>
      <c r="G267" s="14">
        <f>data!BK61</f>
        <v>0</v>
      </c>
      <c r="H267" s="14">
        <f>data!BL61</f>
        <v>916985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16898</v>
      </c>
      <c r="D268" s="14">
        <f>data!BH62</f>
        <v>76072</v>
      </c>
      <c r="E268" s="14">
        <f>data!BI62</f>
        <v>0</v>
      </c>
      <c r="F268" s="14">
        <f>data!BJ62</f>
        <v>39938</v>
      </c>
      <c r="G268" s="14">
        <f>data!BK62</f>
        <v>0</v>
      </c>
      <c r="H268" s="14">
        <f>data!BL62</f>
        <v>166375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7</v>
      </c>
      <c r="D270" s="14">
        <f>data!BH64</f>
        <v>80722</v>
      </c>
      <c r="E270" s="14">
        <f>data!BI64</f>
        <v>0</v>
      </c>
      <c r="F270" s="14">
        <f>data!BJ64</f>
        <v>4516</v>
      </c>
      <c r="G270" s="14">
        <f>data!BK64</f>
        <v>0</v>
      </c>
      <c r="H270" s="14">
        <f>data!BL64</f>
        <v>20384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235604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3104</v>
      </c>
      <c r="D272" s="14">
        <f>data!BH66</f>
        <v>1828534</v>
      </c>
      <c r="E272" s="14">
        <f>data!BI66</f>
        <v>0</v>
      </c>
      <c r="F272" s="14">
        <f>data!BJ66</f>
        <v>5000</v>
      </c>
      <c r="G272" s="14">
        <f>data!BK66</f>
        <v>1769837</v>
      </c>
      <c r="H272" s="14">
        <f>data!BL66</f>
        <v>48202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12793</v>
      </c>
      <c r="D273" s="14">
        <f>data!BH67</f>
        <v>28547</v>
      </c>
      <c r="E273" s="14">
        <f>data!BI67</f>
        <v>0</v>
      </c>
      <c r="F273" s="14">
        <f>data!BJ67</f>
        <v>62066</v>
      </c>
      <c r="G273" s="14">
        <f>data!BK67</f>
        <v>0</v>
      </c>
      <c r="H273" s="14">
        <f>data!BL67</f>
        <v>68368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30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313072</v>
      </c>
      <c r="E275" s="14">
        <f>data!BI69</f>
        <v>0</v>
      </c>
      <c r="F275" s="14">
        <f>data!BJ69</f>
        <v>76925</v>
      </c>
      <c r="G275" s="14">
        <f>data!BK69</f>
        <v>-2</v>
      </c>
      <c r="H275" s="14">
        <f>data!BL69</f>
        <v>286343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360372</v>
      </c>
      <c r="D277" s="14">
        <f>data!BH71</f>
        <v>2747649</v>
      </c>
      <c r="E277" s="14">
        <f>data!BI71</f>
        <v>0</v>
      </c>
      <c r="F277" s="14">
        <f>data!BJ71</f>
        <v>416697</v>
      </c>
      <c r="G277" s="14">
        <f>data!BK71</f>
        <v>1769835</v>
      </c>
      <c r="H277" s="14">
        <f>data!BL71</f>
        <v>1506657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337</v>
      </c>
      <c r="D284" s="85">
        <f>data!BH76</f>
        <v>752</v>
      </c>
      <c r="E284" s="85">
        <f>data!BI76</f>
        <v>0</v>
      </c>
      <c r="F284" s="85">
        <f>data!BJ76</f>
        <v>1635</v>
      </c>
      <c r="G284" s="85">
        <f>data!BK76</f>
        <v>0</v>
      </c>
      <c r="H284" s="85">
        <f>data!BL76</f>
        <v>1801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192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459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Capital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8.64</v>
      </c>
      <c r="D298" s="26">
        <f>data!BO60</f>
        <v>0</v>
      </c>
      <c r="E298" s="26">
        <f>data!BP60</f>
        <v>0.76</v>
      </c>
      <c r="F298" s="26">
        <f>data!BQ60</f>
        <v>0</v>
      </c>
      <c r="G298" s="26">
        <f>data!BR60</f>
        <v>3.71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2247739</v>
      </c>
      <c r="D299" s="14">
        <f>data!BO61</f>
        <v>0</v>
      </c>
      <c r="E299" s="14">
        <f>data!BP61</f>
        <v>48166</v>
      </c>
      <c r="F299" s="14">
        <f>data!BQ61</f>
        <v>0</v>
      </c>
      <c r="G299" s="14">
        <f>data!BR61</f>
        <v>284486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278815</v>
      </c>
      <c r="D300" s="14">
        <f>data!BO62</f>
        <v>0</v>
      </c>
      <c r="E300" s="14">
        <f>data!BP62</f>
        <v>8796</v>
      </c>
      <c r="F300" s="14">
        <f>data!BQ62</f>
        <v>0</v>
      </c>
      <c r="G300" s="14">
        <f>data!BR62</f>
        <v>50589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11835</v>
      </c>
      <c r="D302" s="14">
        <f>data!BO64</f>
        <v>0</v>
      </c>
      <c r="E302" s="14">
        <f>data!BP64</f>
        <v>13964</v>
      </c>
      <c r="F302" s="14">
        <f>data!BQ64</f>
        <v>0</v>
      </c>
      <c r="G302" s="14">
        <f>data!BR64</f>
        <v>9259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405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601837</v>
      </c>
      <c r="D304" s="14">
        <f>data!BO66</f>
        <v>0</v>
      </c>
      <c r="E304" s="14">
        <f>data!BP66</f>
        <v>20803</v>
      </c>
      <c r="F304" s="14">
        <f>data!BQ66</f>
        <v>0</v>
      </c>
      <c r="G304" s="14">
        <f>data!BR66</f>
        <v>171037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147099</v>
      </c>
      <c r="D305" s="14">
        <f>data!BO67</f>
        <v>0</v>
      </c>
      <c r="E305" s="14">
        <f>data!BP67</f>
        <v>27674</v>
      </c>
      <c r="F305" s="14">
        <f>data!BQ67</f>
        <v>0</v>
      </c>
      <c r="G305" s="14">
        <f>data!BR67</f>
        <v>38454</v>
      </c>
      <c r="H305" s="14">
        <f>data!BS67</f>
        <v>10857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450787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17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3151513</v>
      </c>
      <c r="D307" s="14">
        <f>data!BO69</f>
        <v>0</v>
      </c>
      <c r="E307" s="14">
        <f>data!BP69</f>
        <v>123520</v>
      </c>
      <c r="F307" s="14">
        <f>data!BQ69</f>
        <v>0</v>
      </c>
      <c r="G307" s="14">
        <f>data!BR69</f>
        <v>202585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6890030</v>
      </c>
      <c r="D309" s="14">
        <f>data!BO71</f>
        <v>0</v>
      </c>
      <c r="E309" s="14">
        <f>data!BP71</f>
        <v>242923</v>
      </c>
      <c r="F309" s="14">
        <f>data!BQ71</f>
        <v>0</v>
      </c>
      <c r="G309" s="14">
        <f>data!BR71</f>
        <v>756427</v>
      </c>
      <c r="H309" s="14">
        <f>data!BS71</f>
        <v>10857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3875</v>
      </c>
      <c r="D316" s="85">
        <f>data!BO76</f>
        <v>0</v>
      </c>
      <c r="E316" s="85">
        <f>data!BP76</f>
        <v>729</v>
      </c>
      <c r="F316" s="85">
        <f>data!BQ76</f>
        <v>0</v>
      </c>
      <c r="G316" s="85">
        <f>data!BR76</f>
        <v>1013</v>
      </c>
      <c r="H316" s="85">
        <f>data!BS76</f>
        <v>286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73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Capital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10.24</v>
      </c>
      <c r="E330" s="26">
        <f>data!BW60</f>
        <v>1.18</v>
      </c>
      <c r="F330" s="26">
        <f>data!BX60</f>
        <v>2.1</v>
      </c>
      <c r="G330" s="26">
        <f>data!BY60</f>
        <v>9.2899999999999991</v>
      </c>
      <c r="H330" s="26">
        <f>data!BZ60</f>
        <v>0</v>
      </c>
      <c r="I330" s="26">
        <f>data!CA60</f>
        <v>1.39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604878</v>
      </c>
      <c r="E331" s="86">
        <f>data!BW61</f>
        <v>103558</v>
      </c>
      <c r="F331" s="86">
        <f>data!BX61</f>
        <v>205165</v>
      </c>
      <c r="G331" s="86">
        <f>data!BY61</f>
        <v>1081799</v>
      </c>
      <c r="H331" s="86">
        <f>data!BZ61</f>
        <v>0</v>
      </c>
      <c r="I331" s="86">
        <f>data!CA61</f>
        <v>164569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107162</v>
      </c>
      <c r="E332" s="86">
        <f>data!BW62</f>
        <v>18878</v>
      </c>
      <c r="F332" s="86">
        <f>data!BX62</f>
        <v>36881</v>
      </c>
      <c r="G332" s="86">
        <f>data!BY62</f>
        <v>196294</v>
      </c>
      <c r="H332" s="86">
        <f>data!BZ62</f>
        <v>0</v>
      </c>
      <c r="I332" s="86">
        <f>data!CA62</f>
        <v>29909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44738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10278</v>
      </c>
      <c r="E334" s="86">
        <f>data!BW64</f>
        <v>1324</v>
      </c>
      <c r="F334" s="86">
        <f>data!BX64</f>
        <v>8820</v>
      </c>
      <c r="G334" s="86">
        <f>data!BY64</f>
        <v>2562</v>
      </c>
      <c r="H334" s="86">
        <f>data!BZ64</f>
        <v>0</v>
      </c>
      <c r="I334" s="86">
        <f>data!CA64</f>
        <v>431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170066</v>
      </c>
      <c r="E336" s="86">
        <f>data!BW66</f>
        <v>67054</v>
      </c>
      <c r="F336" s="86">
        <f>data!BX66</f>
        <v>220833</v>
      </c>
      <c r="G336" s="86">
        <f>data!BY66</f>
        <v>450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127359</v>
      </c>
      <c r="D337" s="86">
        <f>data!BV67</f>
        <v>0</v>
      </c>
      <c r="E337" s="86">
        <f>data!BW67</f>
        <v>0</v>
      </c>
      <c r="F337" s="86">
        <f>data!BX67</f>
        <v>3151</v>
      </c>
      <c r="G337" s="86">
        <f>data!BY67</f>
        <v>44225</v>
      </c>
      <c r="H337" s="86">
        <f>data!BZ67</f>
        <v>0</v>
      </c>
      <c r="I337" s="86">
        <f>data!CA67</f>
        <v>84995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55510</v>
      </c>
      <c r="E338" s="86">
        <f>data!BW68</f>
        <v>506</v>
      </c>
      <c r="F338" s="86">
        <f>data!BX68</f>
        <v>0</v>
      </c>
      <c r="G338" s="86">
        <f>data!BY68</f>
        <v>672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4133</v>
      </c>
      <c r="E339" s="86">
        <f>data!BW69</f>
        <v>4001</v>
      </c>
      <c r="F339" s="86">
        <f>data!BX69</f>
        <v>101578</v>
      </c>
      <c r="G339" s="86">
        <f>data!BY69</f>
        <v>10686</v>
      </c>
      <c r="H339" s="86">
        <f>data!BZ69</f>
        <v>0</v>
      </c>
      <c r="I339" s="86">
        <f>data!CA69</f>
        <v>1782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127359</v>
      </c>
      <c r="D341" s="14">
        <f>data!BV71</f>
        <v>952027</v>
      </c>
      <c r="E341" s="14">
        <f>data!BW71</f>
        <v>195321</v>
      </c>
      <c r="F341" s="14">
        <f>data!BX71</f>
        <v>621166</v>
      </c>
      <c r="G341" s="14">
        <f>data!BY71</f>
        <v>1336688</v>
      </c>
      <c r="H341" s="14">
        <f>data!BZ71</f>
        <v>0</v>
      </c>
      <c r="I341" s="14">
        <f>data!CA71</f>
        <v>281686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3355</v>
      </c>
      <c r="D348" s="85">
        <f>data!BV76</f>
        <v>0</v>
      </c>
      <c r="E348" s="85">
        <f>data!BW76</f>
        <v>0</v>
      </c>
      <c r="F348" s="85">
        <f>data!BX76</f>
        <v>83</v>
      </c>
      <c r="G348" s="85">
        <f>data!BY76</f>
        <v>1165</v>
      </c>
      <c r="H348" s="85">
        <f>data!BZ76</f>
        <v>0</v>
      </c>
      <c r="I348" s="85">
        <f>data!CA76</f>
        <v>2239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855</v>
      </c>
      <c r="E350" s="85">
        <f>data!BW78</f>
        <v>0</v>
      </c>
      <c r="F350" s="85">
        <f>data!BX78</f>
        <v>21</v>
      </c>
      <c r="G350" s="85">
        <f>data!BY78</f>
        <v>297</v>
      </c>
      <c r="H350" s="85">
        <f>data!BZ78</f>
        <v>0</v>
      </c>
      <c r="I350" s="85">
        <f>data!CA78</f>
        <v>571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Capital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426.07000000000011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37106883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6548757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4805619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15014977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1157698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9602933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5898156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3187052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13483429</v>
      </c>
      <c r="F371" s="219"/>
      <c r="G371" s="219"/>
      <c r="H371" s="219"/>
      <c r="I371" s="86">
        <f>data!CE69</f>
        <v>23188922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557924</v>
      </c>
      <c r="F372" s="220"/>
      <c r="G372" s="220"/>
      <c r="H372" s="220"/>
      <c r="I372" s="14">
        <f>-data!CE70</f>
        <v>-557924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12925505</v>
      </c>
      <c r="F373" s="219"/>
      <c r="G373" s="219"/>
      <c r="H373" s="219"/>
      <c r="I373" s="14">
        <f>data!CE71</f>
        <v>105953073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209402604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311762784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521165388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155374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39775.009999999995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39604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458573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358.5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2021-06-29T22:25:31Z</dcterms:modified>
</cp:coreProperties>
</file>