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8412A67F-730C-4B9D-87AA-50558E254171}" xr6:coauthVersionLast="45" xr6:coauthVersionMax="45" xr10:uidLastSave="{00000000-0000-0000-0000-000000000000}"/>
  <workbookProtection workbookAlgorithmName="SHA-512" workbookHashValue="kwwxt9TyD9vOn8WLsOUW4vQXudFMEV/DDgAd+dhukYDIrrWZn5y8jHlP2ECNWQF1ucWsFz58uJtbPu6dMZLBOw==" workbookSaltValue="cjPqtjPDZsMDlKp09M91iQ==" workbookSpinCount="100000" lockStructure="1"/>
  <bookViews>
    <workbookView xWindow="-103" yWindow="-103" windowWidth="16663" windowHeight="8863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data!$A$45:$CE$80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C493" i="1"/>
  <c r="B493" i="1"/>
  <c r="C223" i="1" l="1"/>
  <c r="C228" i="1"/>
  <c r="C224" i="1"/>
  <c r="C337" i="1" l="1"/>
  <c r="C326" i="1"/>
  <c r="C322" i="1"/>
  <c r="C307" i="1"/>
  <c r="C306" i="1"/>
  <c r="C305" i="1"/>
  <c r="C214" i="1"/>
  <c r="C270" i="1"/>
  <c r="C253" i="1"/>
  <c r="C252" i="1"/>
  <c r="C233" i="1"/>
  <c r="C221" i="1"/>
  <c r="D142" i="1"/>
  <c r="C142" i="1"/>
  <c r="B142" i="1"/>
  <c r="D141" i="1"/>
  <c r="C141" i="1"/>
  <c r="B141" i="1"/>
  <c r="C180" i="1"/>
  <c r="C179" i="1"/>
  <c r="C185" i="1"/>
  <c r="C189" i="1"/>
  <c r="C370" i="1"/>
  <c r="C387" i="1"/>
  <c r="C366" i="1"/>
  <c r="C363" i="1"/>
  <c r="C365" i="1"/>
  <c r="C386" i="1"/>
  <c r="C388" i="1"/>
  <c r="C392" i="1"/>
  <c r="C385" i="1"/>
  <c r="C384" i="1"/>
  <c r="C383" i="1"/>
  <c r="C382" i="1"/>
  <c r="C381" i="1"/>
  <c r="C380" i="1"/>
  <c r="C379" i="1"/>
  <c r="C378" i="1"/>
  <c r="C360" i="1"/>
  <c r="C359" i="1"/>
  <c r="C168" i="1"/>
  <c r="C167" i="1"/>
  <c r="C166" i="1"/>
  <c r="B52" i="1"/>
  <c r="E74" i="1"/>
  <c r="E73" i="1"/>
  <c r="AJ74" i="1"/>
  <c r="B214" i="1"/>
  <c r="C213" i="1"/>
  <c r="C210" i="1"/>
  <c r="C203" i="1"/>
  <c r="C200" i="1"/>
  <c r="C198" i="1"/>
  <c r="CC66" i="1"/>
  <c r="CC69" i="1"/>
  <c r="CA66" i="1"/>
  <c r="CA69" i="1"/>
  <c r="CA64" i="1"/>
  <c r="BY69" i="1"/>
  <c r="BY65" i="1"/>
  <c r="BY64" i="1"/>
  <c r="BY66" i="1"/>
  <c r="BY47" i="1"/>
  <c r="BY61" i="1"/>
  <c r="BX64" i="1"/>
  <c r="BX66" i="1"/>
  <c r="BX47" i="1"/>
  <c r="BX61" i="1"/>
  <c r="CC64" i="1"/>
  <c r="BR66" i="1"/>
  <c r="BR64" i="1"/>
  <c r="BR47" i="1"/>
  <c r="BR61" i="1"/>
  <c r="BV68" i="1"/>
  <c r="BV69" i="1"/>
  <c r="BV66" i="1"/>
  <c r="BV64" i="1"/>
  <c r="BV47" i="1"/>
  <c r="BV61" i="1"/>
  <c r="BN69" i="1"/>
  <c r="BN68" i="1"/>
  <c r="BN66" i="1"/>
  <c r="BN65" i="1"/>
  <c r="BN64" i="1"/>
  <c r="BN63" i="1"/>
  <c r="BN47" i="1"/>
  <c r="BN61" i="1"/>
  <c r="BM66" i="1"/>
  <c r="BM47" i="1"/>
  <c r="BM61" i="1"/>
  <c r="BG66" i="1"/>
  <c r="BL64" i="1"/>
  <c r="BL47" i="1"/>
  <c r="BL61" i="1"/>
  <c r="BK64" i="1"/>
  <c r="BK66" i="1"/>
  <c r="BH64" i="1"/>
  <c r="BH47" i="1"/>
  <c r="BH61" i="1"/>
  <c r="BH69" i="1"/>
  <c r="BH66" i="1"/>
  <c r="BH65" i="1"/>
  <c r="BE66" i="1"/>
  <c r="BE69" i="1"/>
  <c r="BE68" i="1"/>
  <c r="BE65" i="1"/>
  <c r="BE64" i="1"/>
  <c r="BE47" i="1"/>
  <c r="BE61" i="1"/>
  <c r="BD69" i="1"/>
  <c r="BD66" i="1"/>
  <c r="BD64" i="1"/>
  <c r="BD47" i="1"/>
  <c r="BD61" i="1"/>
  <c r="BF69" i="1"/>
  <c r="BF64" i="1"/>
  <c r="BF47" i="1"/>
  <c r="BF61" i="1"/>
  <c r="BA66" i="1"/>
  <c r="AZ69" i="1"/>
  <c r="AZ64" i="1"/>
  <c r="AZ47" i="1"/>
  <c r="AZ61" i="1"/>
  <c r="AZ66" i="1"/>
  <c r="AY69" i="1"/>
  <c r="AY66" i="1"/>
  <c r="AY64" i="1"/>
  <c r="AY47" i="1"/>
  <c r="AY61" i="1"/>
  <c r="AV74" i="1"/>
  <c r="AV73" i="1"/>
  <c r="P69" i="1" l="1"/>
  <c r="P47" i="1"/>
  <c r="AJ66" i="1"/>
  <c r="AJ69" i="1"/>
  <c r="AJ64" i="1"/>
  <c r="AJ65" i="1"/>
  <c r="AJ47" i="1"/>
  <c r="AJ61" i="1"/>
  <c r="AJ68" i="1"/>
  <c r="AJ73" i="1"/>
  <c r="AJ63" i="1" l="1"/>
  <c r="E66" i="1"/>
  <c r="E63" i="1"/>
  <c r="AG68" i="1"/>
  <c r="AG69" i="1"/>
  <c r="AG66" i="1"/>
  <c r="AG64" i="1"/>
  <c r="AG63" i="1"/>
  <c r="AG47" i="1"/>
  <c r="AG61" i="1"/>
  <c r="AG74" i="1"/>
  <c r="AG73" i="1"/>
  <c r="AL63" i="1"/>
  <c r="AL73" i="1"/>
  <c r="AK73" i="1"/>
  <c r="AK74" i="1"/>
  <c r="AE64" i="1"/>
  <c r="AE63" i="1"/>
  <c r="AE66" i="1"/>
  <c r="AE74" i="1"/>
  <c r="AE73" i="1"/>
  <c r="AC69" i="1"/>
  <c r="AC68" i="1"/>
  <c r="AC64" i="1"/>
  <c r="AC66" i="1"/>
  <c r="AC47" i="1"/>
  <c r="AC61" i="1"/>
  <c r="AC74" i="1"/>
  <c r="AC73" i="1"/>
  <c r="AB69" i="1"/>
  <c r="AB66" i="1"/>
  <c r="AB64" i="1"/>
  <c r="AB47" i="1"/>
  <c r="AB61" i="1"/>
  <c r="AB74" i="1"/>
  <c r="AB73" i="1"/>
  <c r="AA66" i="1"/>
  <c r="Y69" i="1"/>
  <c r="Y66" i="1"/>
  <c r="Y64" i="1"/>
  <c r="Y47" i="1"/>
  <c r="Y61" i="1"/>
  <c r="Y74" i="1"/>
  <c r="Y73" i="1"/>
  <c r="W66" i="1"/>
  <c r="W47" i="1"/>
  <c r="W61" i="1"/>
  <c r="W74" i="1"/>
  <c r="W73" i="1"/>
  <c r="X61" i="1"/>
  <c r="X64" i="1"/>
  <c r="X47" i="1"/>
  <c r="X74" i="1"/>
  <c r="X73" i="1"/>
  <c r="V74" i="1"/>
  <c r="V73" i="1"/>
  <c r="U64" i="1"/>
  <c r="U74" i="1"/>
  <c r="U73" i="1"/>
  <c r="U69" i="1"/>
  <c r="U68" i="1"/>
  <c r="U66" i="1"/>
  <c r="U63" i="1"/>
  <c r="U47" i="1"/>
  <c r="U61" i="1"/>
  <c r="S69" i="1"/>
  <c r="S64" i="1"/>
  <c r="S74" i="1"/>
  <c r="S73" i="1"/>
  <c r="P74" i="1"/>
  <c r="P73" i="1"/>
  <c r="R69" i="1"/>
  <c r="R66" i="1"/>
  <c r="R63" i="1"/>
  <c r="R64" i="1"/>
  <c r="R74" i="1"/>
  <c r="R73" i="1"/>
  <c r="Q64" i="1"/>
  <c r="Q66" i="1"/>
  <c r="Q47" i="1"/>
  <c r="Q61" i="1"/>
  <c r="Q74" i="1"/>
  <c r="Q73" i="1"/>
  <c r="P64" i="1"/>
  <c r="P68" i="1"/>
  <c r="P66" i="1"/>
  <c r="P61" i="1"/>
  <c r="H64" i="1"/>
  <c r="H69" i="1"/>
  <c r="H63" i="1"/>
  <c r="H47" i="1"/>
  <c r="H61" i="1"/>
  <c r="H73" i="1"/>
  <c r="H66" i="1"/>
  <c r="AO74" i="1"/>
  <c r="AO73" i="1"/>
  <c r="E64" i="1"/>
  <c r="O68" i="1"/>
  <c r="O69" i="1"/>
  <c r="O64" i="1"/>
  <c r="O66" i="1"/>
  <c r="O47" i="1"/>
  <c r="O61" i="1"/>
  <c r="O74" i="1"/>
  <c r="O73" i="1"/>
  <c r="J64" i="1"/>
  <c r="J73" i="1"/>
  <c r="O63" i="1"/>
  <c r="E69" i="1"/>
  <c r="E47" i="1"/>
  <c r="E68" i="1"/>
  <c r="E61" i="1"/>
  <c r="C74" i="1" l="1"/>
  <c r="C73" i="1"/>
  <c r="C69" i="1"/>
  <c r="C68" i="1"/>
  <c r="C64" i="1"/>
  <c r="C66" i="1"/>
  <c r="C47" i="1"/>
  <c r="C61" i="1"/>
  <c r="E59" i="1" l="1"/>
  <c r="J59" i="1"/>
  <c r="O77" i="1"/>
  <c r="H77" i="1"/>
  <c r="E77" i="1"/>
  <c r="C77" i="1"/>
  <c r="C59" i="1"/>
  <c r="O59" i="1"/>
  <c r="H59" i="1"/>
  <c r="Y79" i="1" l="1"/>
  <c r="P79" i="1"/>
  <c r="AG79" i="1"/>
  <c r="E79" i="1"/>
  <c r="H79" i="1" l="1"/>
  <c r="C79" i="1"/>
  <c r="P80" i="1" l="1"/>
  <c r="H80" i="1"/>
  <c r="AJ80" i="1"/>
  <c r="Q80" i="1"/>
  <c r="E80" i="1"/>
  <c r="O80" i="1"/>
  <c r="C80" i="1"/>
  <c r="AG80" i="1"/>
  <c r="P60" i="1" l="1"/>
  <c r="AJ60" i="1"/>
  <c r="O60" i="1"/>
  <c r="BY60" i="1" l="1"/>
  <c r="BX60" i="1"/>
  <c r="BV60" i="1"/>
  <c r="BN60" i="1"/>
  <c r="BM60" i="1"/>
  <c r="BL60" i="1"/>
  <c r="BE60" i="1"/>
  <c r="BF60" i="1"/>
  <c r="AY60" i="1"/>
  <c r="AG60" i="1"/>
  <c r="AC60" i="1"/>
  <c r="AB60" i="1"/>
  <c r="Y60" i="1"/>
  <c r="W60" i="1"/>
  <c r="X60" i="1"/>
  <c r="Q60" i="1"/>
  <c r="H60" i="1"/>
  <c r="C60" i="1"/>
  <c r="BR60" i="1"/>
  <c r="AZ60" i="1"/>
  <c r="U60" i="1"/>
  <c r="E60" i="1"/>
  <c r="C313" i="1" l="1"/>
  <c r="C274" i="1"/>
  <c r="C269" i="1"/>
  <c r="C257" i="1"/>
  <c r="C250" i="1"/>
  <c r="B213" i="1"/>
  <c r="B210" i="1"/>
  <c r="B209" i="1"/>
  <c r="C197" i="1"/>
  <c r="B203" i="1"/>
  <c r="B201" i="1"/>
  <c r="B200" i="1"/>
  <c r="B198" i="1"/>
  <c r="B197" i="1"/>
  <c r="B196" i="1"/>
  <c r="B195" i="1"/>
  <c r="C139" i="1"/>
  <c r="B139" i="1"/>
  <c r="D138" i="1" l="1"/>
  <c r="C138" i="1"/>
  <c r="B138" i="1"/>
  <c r="BF76" i="1" l="1"/>
  <c r="C63" i="1" l="1"/>
  <c r="B574" i="1" l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575" i="1"/>
  <c r="B496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K814" i="10" s="1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D48" i="1" s="1"/>
  <c r="D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N740" i="1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N760" i="1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C85" i="8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5" i="1"/>
  <c r="N761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F8" i="4"/>
  <c r="F7" i="4"/>
  <c r="E9" i="4"/>
  <c r="E8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816" i="1"/>
  <c r="N766" i="1"/>
  <c r="I26" i="9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R816" i="1"/>
  <c r="C615" i="1"/>
  <c r="V815" i="1"/>
  <c r="E372" i="9"/>
  <c r="I372" i="9"/>
  <c r="M816" i="1"/>
  <c r="N751" i="1" l="1"/>
  <c r="G122" i="9"/>
  <c r="F8" i="6"/>
  <c r="D435" i="1"/>
  <c r="N757" i="1"/>
  <c r="I381" i="9"/>
  <c r="D186" i="9"/>
  <c r="N769" i="1"/>
  <c r="CF77" i="1"/>
  <c r="H122" i="9"/>
  <c r="C119" i="8"/>
  <c r="D368" i="1"/>
  <c r="C120" i="8" s="1"/>
  <c r="N817" i="1"/>
  <c r="N736" i="1"/>
  <c r="N762" i="1"/>
  <c r="N748" i="1"/>
  <c r="N765" i="1"/>
  <c r="N777" i="1"/>
  <c r="N743" i="1"/>
  <c r="N773" i="1"/>
  <c r="G612" i="1"/>
  <c r="C473" i="1"/>
  <c r="D330" i="1"/>
  <c r="C86" i="8" s="1"/>
  <c r="F13" i="6"/>
  <c r="B10" i="4"/>
  <c r="B440" i="1"/>
  <c r="B441" i="1"/>
  <c r="N768" i="1"/>
  <c r="N758" i="1"/>
  <c r="N753" i="1"/>
  <c r="N752" i="1"/>
  <c r="I377" i="9"/>
  <c r="N747" i="1"/>
  <c r="F815" i="1"/>
  <c r="AW48" i="1"/>
  <c r="AW62" i="1" s="1"/>
  <c r="E780" i="1" s="1"/>
  <c r="H58" i="9"/>
  <c r="I366" i="9"/>
  <c r="N48" i="1"/>
  <c r="N62" i="1" s="1"/>
  <c r="G44" i="9" s="1"/>
  <c r="D815" i="1"/>
  <c r="BD48" i="1"/>
  <c r="BD62" i="1" s="1"/>
  <c r="G236" i="9" s="1"/>
  <c r="K48" i="1"/>
  <c r="K62" i="1" s="1"/>
  <c r="E742" i="1" s="1"/>
  <c r="C430" i="1"/>
  <c r="G816" i="1"/>
  <c r="AJ48" i="1"/>
  <c r="AJ62" i="1" s="1"/>
  <c r="E767" i="1" s="1"/>
  <c r="BP48" i="1"/>
  <c r="BP62" i="1" s="1"/>
  <c r="E799" i="1" s="1"/>
  <c r="BW48" i="1"/>
  <c r="BW62" i="1" s="1"/>
  <c r="E332" i="9" s="1"/>
  <c r="AK48" i="1"/>
  <c r="AK62" i="1" s="1"/>
  <c r="E768" i="1" s="1"/>
  <c r="BS48" i="1"/>
  <c r="BS62" i="1" s="1"/>
  <c r="E802" i="1" s="1"/>
  <c r="Z48" i="1"/>
  <c r="Z62" i="1" s="1"/>
  <c r="E757" i="1" s="1"/>
  <c r="BJ48" i="1"/>
  <c r="BJ62" i="1" s="1"/>
  <c r="F268" i="9" s="1"/>
  <c r="AY48" i="1"/>
  <c r="AY62" i="1" s="1"/>
  <c r="E782" i="1" s="1"/>
  <c r="BU48" i="1"/>
  <c r="BU62" i="1" s="1"/>
  <c r="E804" i="1" s="1"/>
  <c r="AX48" i="1"/>
  <c r="AX62" i="1" s="1"/>
  <c r="E781" i="1" s="1"/>
  <c r="Q48" i="1"/>
  <c r="Q62" i="1" s="1"/>
  <c r="C76" i="9" s="1"/>
  <c r="L48" i="1"/>
  <c r="L62" i="1" s="1"/>
  <c r="E743" i="1" s="1"/>
  <c r="P816" i="1"/>
  <c r="K816" i="1"/>
  <c r="C434" i="1"/>
  <c r="AD48" i="1"/>
  <c r="AD62" i="1" s="1"/>
  <c r="E761" i="1" s="1"/>
  <c r="BX48" i="1"/>
  <c r="BX62" i="1" s="1"/>
  <c r="AA48" i="1"/>
  <c r="AA62" i="1" s="1"/>
  <c r="F108" i="9" s="1"/>
  <c r="CC48" i="1"/>
  <c r="CC62" i="1" s="1"/>
  <c r="E812" i="1" s="1"/>
  <c r="E48" i="1"/>
  <c r="E62" i="1" s="1"/>
  <c r="E12" i="9" s="1"/>
  <c r="AU48" i="1"/>
  <c r="AU62" i="1" s="1"/>
  <c r="E778" i="1" s="1"/>
  <c r="D816" i="1"/>
  <c r="F48" i="1"/>
  <c r="F62" i="1" s="1"/>
  <c r="V48" i="1"/>
  <c r="V62" i="1" s="1"/>
  <c r="E753" i="1" s="1"/>
  <c r="AF48" i="1"/>
  <c r="AF62" i="1" s="1"/>
  <c r="E763" i="1" s="1"/>
  <c r="AN48" i="1"/>
  <c r="AN62" i="1" s="1"/>
  <c r="E172" i="9" s="1"/>
  <c r="AT48" i="1"/>
  <c r="AT62" i="1" s="1"/>
  <c r="D204" i="9" s="1"/>
  <c r="AZ48" i="1"/>
  <c r="AZ62" i="1" s="1"/>
  <c r="BL48" i="1"/>
  <c r="BL62" i="1" s="1"/>
  <c r="H268" i="9" s="1"/>
  <c r="BT48" i="1"/>
  <c r="BT62" i="1" s="1"/>
  <c r="BY48" i="1"/>
  <c r="BY62" i="1" s="1"/>
  <c r="E808" i="1" s="1"/>
  <c r="C48" i="1"/>
  <c r="AI48" i="1"/>
  <c r="AI62" i="1" s="1"/>
  <c r="E766" i="1" s="1"/>
  <c r="BO48" i="1"/>
  <c r="BO62" i="1" s="1"/>
  <c r="D300" i="9" s="1"/>
  <c r="I48" i="1"/>
  <c r="I62" i="1" s="1"/>
  <c r="E740" i="1" s="1"/>
  <c r="AG48" i="1"/>
  <c r="AG62" i="1" s="1"/>
  <c r="E140" i="9" s="1"/>
  <c r="BE48" i="1"/>
  <c r="BE62" i="1" s="1"/>
  <c r="U48" i="1"/>
  <c r="U62" i="1" s="1"/>
  <c r="BQ48" i="1"/>
  <c r="BQ62" i="1" s="1"/>
  <c r="AB48" i="1"/>
  <c r="AB62" i="1" s="1"/>
  <c r="G108" i="9" s="1"/>
  <c r="W48" i="1"/>
  <c r="W62" i="1" s="1"/>
  <c r="I76" i="9" s="1"/>
  <c r="R48" i="1"/>
  <c r="R62" i="1" s="1"/>
  <c r="AL48" i="1"/>
  <c r="AL62" i="1" s="1"/>
  <c r="C172" i="9" s="1"/>
  <c r="AR48" i="1"/>
  <c r="AR62" i="1" s="1"/>
  <c r="BF48" i="1"/>
  <c r="BF62" i="1" s="1"/>
  <c r="E789" i="1" s="1"/>
  <c r="BR48" i="1"/>
  <c r="BR62" i="1" s="1"/>
  <c r="G300" i="9" s="1"/>
  <c r="BG48" i="1"/>
  <c r="BG62" i="1" s="1"/>
  <c r="BA48" i="1"/>
  <c r="BA62" i="1" s="1"/>
  <c r="D236" i="9" s="1"/>
  <c r="O48" i="1"/>
  <c r="O62" i="1" s="1"/>
  <c r="H44" i="9" s="1"/>
  <c r="X48" i="1"/>
  <c r="X62" i="1" s="1"/>
  <c r="C108" i="9" s="1"/>
  <c r="AS48" i="1"/>
  <c r="AS62" i="1" s="1"/>
  <c r="J48" i="1"/>
  <c r="J62" i="1" s="1"/>
  <c r="E741" i="1" s="1"/>
  <c r="AH48" i="1"/>
  <c r="AH62" i="1" s="1"/>
  <c r="E765" i="1" s="1"/>
  <c r="AP48" i="1"/>
  <c r="AP62" i="1" s="1"/>
  <c r="G172" i="9" s="1"/>
  <c r="AV48" i="1"/>
  <c r="AV62" i="1" s="1"/>
  <c r="E779" i="1" s="1"/>
  <c r="BB48" i="1"/>
  <c r="BB62" i="1" s="1"/>
  <c r="E236" i="9" s="1"/>
  <c r="BH48" i="1"/>
  <c r="BH62" i="1" s="1"/>
  <c r="BN48" i="1"/>
  <c r="BN62" i="1" s="1"/>
  <c r="C300" i="9" s="1"/>
  <c r="BV48" i="1"/>
  <c r="BV62" i="1" s="1"/>
  <c r="D332" i="9" s="1"/>
  <c r="CA48" i="1"/>
  <c r="CA62" i="1" s="1"/>
  <c r="I332" i="9" s="1"/>
  <c r="AO48" i="1"/>
  <c r="AO62" i="1" s="1"/>
  <c r="E772" i="1" s="1"/>
  <c r="BM48" i="1"/>
  <c r="BM62" i="1" s="1"/>
  <c r="I268" i="9" s="1"/>
  <c r="BI48" i="1"/>
  <c r="BI62" i="1" s="1"/>
  <c r="AE48" i="1"/>
  <c r="AE62" i="1" s="1"/>
  <c r="C140" i="9" s="1"/>
  <c r="G48" i="1"/>
  <c r="G62" i="1" s="1"/>
  <c r="G12" i="9" s="1"/>
  <c r="T814" i="10"/>
  <c r="H814" i="10"/>
  <c r="R814" i="10"/>
  <c r="P814" i="10"/>
  <c r="E373" i="9"/>
  <c r="C575" i="1"/>
  <c r="E752" i="10"/>
  <c r="C14" i="5"/>
  <c r="D428" i="1"/>
  <c r="D612" i="1"/>
  <c r="CF76" i="1"/>
  <c r="BT52" i="1" s="1"/>
  <c r="BT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E756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D12" i="9"/>
  <c r="E735" i="1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BQ52" i="1"/>
  <c r="BQ67" i="1" s="1"/>
  <c r="BM52" i="1"/>
  <c r="BM67" i="1" s="1"/>
  <c r="BN52" i="1"/>
  <c r="BN67" i="1" s="1"/>
  <c r="D52" i="1"/>
  <c r="D67" i="1" s="1"/>
  <c r="D71" i="1" s="1"/>
  <c r="G52" i="1"/>
  <c r="G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373" i="1" l="1"/>
  <c r="AX52" i="1"/>
  <c r="AX67" i="1" s="1"/>
  <c r="BV52" i="1"/>
  <c r="BV67" i="1" s="1"/>
  <c r="T52" i="1"/>
  <c r="T67" i="1" s="1"/>
  <c r="AY52" i="1"/>
  <c r="AY67" i="1" s="1"/>
  <c r="AY71" i="1" s="1"/>
  <c r="C625" i="1" s="1"/>
  <c r="BF52" i="1"/>
  <c r="BF67" i="1" s="1"/>
  <c r="BE52" i="1"/>
  <c r="BE67" i="1" s="1"/>
  <c r="AK52" i="1"/>
  <c r="AK67" i="1" s="1"/>
  <c r="AW52" i="1"/>
  <c r="AW67" i="1" s="1"/>
  <c r="G209" i="9" s="1"/>
  <c r="BY52" i="1"/>
  <c r="BY67" i="1" s="1"/>
  <c r="AM52" i="1"/>
  <c r="AM67" i="1" s="1"/>
  <c r="BR52" i="1"/>
  <c r="BR67" i="1" s="1"/>
  <c r="AA52" i="1"/>
  <c r="AA67" i="1" s="1"/>
  <c r="AA71" i="1" s="1"/>
  <c r="C520" i="1" s="1"/>
  <c r="G519" i="1" s="1"/>
  <c r="M52" i="1"/>
  <c r="M67" i="1" s="1"/>
  <c r="CB52" i="1"/>
  <c r="CB67" i="1" s="1"/>
  <c r="F52" i="1"/>
  <c r="F67" i="1" s="1"/>
  <c r="BD52" i="1"/>
  <c r="BD67" i="1" s="1"/>
  <c r="J787" i="1" s="1"/>
  <c r="D339" i="1"/>
  <c r="C482" i="1" s="1"/>
  <c r="BP52" i="1"/>
  <c r="BP67" i="1" s="1"/>
  <c r="J799" i="1" s="1"/>
  <c r="G204" i="9"/>
  <c r="I108" i="9"/>
  <c r="E745" i="1"/>
  <c r="G332" i="9"/>
  <c r="E762" i="1"/>
  <c r="E810" i="1"/>
  <c r="E738" i="1"/>
  <c r="C332" i="9"/>
  <c r="E777" i="1"/>
  <c r="E748" i="1"/>
  <c r="AX71" i="1"/>
  <c r="C543" i="1" s="1"/>
  <c r="E754" i="1"/>
  <c r="E785" i="1"/>
  <c r="H140" i="9"/>
  <c r="H300" i="9"/>
  <c r="G71" i="1"/>
  <c r="G21" i="9" s="1"/>
  <c r="E801" i="1"/>
  <c r="E771" i="1"/>
  <c r="C44" i="9"/>
  <c r="E736" i="1"/>
  <c r="H204" i="9"/>
  <c r="D44" i="9"/>
  <c r="E300" i="9"/>
  <c r="E746" i="1"/>
  <c r="G140" i="9"/>
  <c r="BF71" i="1"/>
  <c r="C629" i="1" s="1"/>
  <c r="I236" i="9"/>
  <c r="E795" i="1"/>
  <c r="E787" i="1"/>
  <c r="BN71" i="1"/>
  <c r="C309" i="9" s="1"/>
  <c r="E108" i="9"/>
  <c r="H172" i="9"/>
  <c r="E797" i="1"/>
  <c r="F172" i="9"/>
  <c r="I204" i="9"/>
  <c r="E773" i="1"/>
  <c r="E44" i="9"/>
  <c r="AK71" i="1"/>
  <c r="C530" i="1" s="1"/>
  <c r="G529" i="1" s="1"/>
  <c r="E204" i="9"/>
  <c r="E806" i="1"/>
  <c r="E769" i="1"/>
  <c r="E793" i="1"/>
  <c r="F140" i="9"/>
  <c r="E759" i="1"/>
  <c r="E784" i="1"/>
  <c r="I12" i="9"/>
  <c r="E796" i="1"/>
  <c r="E758" i="1"/>
  <c r="E764" i="1"/>
  <c r="D140" i="9"/>
  <c r="I140" i="9"/>
  <c r="J803" i="1"/>
  <c r="I305" i="9"/>
  <c r="E305" i="9"/>
  <c r="AJ52" i="1"/>
  <c r="AJ67" i="1" s="1"/>
  <c r="AJ71" i="1" s="1"/>
  <c r="H149" i="9" s="1"/>
  <c r="AB52" i="1"/>
  <c r="AB67" i="1" s="1"/>
  <c r="V52" i="1"/>
  <c r="V67" i="1" s="1"/>
  <c r="J753" i="1" s="1"/>
  <c r="H52" i="1"/>
  <c r="H67" i="1" s="1"/>
  <c r="H17" i="9" s="1"/>
  <c r="AN52" i="1"/>
  <c r="AN67" i="1" s="1"/>
  <c r="E177" i="9" s="1"/>
  <c r="M71" i="1"/>
  <c r="F53" i="9" s="1"/>
  <c r="J52" i="1"/>
  <c r="J67" i="1" s="1"/>
  <c r="J71" i="1" s="1"/>
  <c r="AG52" i="1"/>
  <c r="AG67" i="1" s="1"/>
  <c r="AH52" i="1"/>
  <c r="AH67" i="1" s="1"/>
  <c r="J765" i="1" s="1"/>
  <c r="BO52" i="1"/>
  <c r="BO67" i="1" s="1"/>
  <c r="J798" i="1" s="1"/>
  <c r="BP71" i="1"/>
  <c r="AF52" i="1"/>
  <c r="AF67" i="1" s="1"/>
  <c r="AF71" i="1" s="1"/>
  <c r="C697" i="1" s="1"/>
  <c r="BX52" i="1"/>
  <c r="BX67" i="1" s="1"/>
  <c r="F337" i="9" s="1"/>
  <c r="P52" i="1"/>
  <c r="P67" i="1" s="1"/>
  <c r="I49" i="9" s="1"/>
  <c r="D76" i="9"/>
  <c r="E749" i="1"/>
  <c r="C236" i="9"/>
  <c r="E783" i="1"/>
  <c r="E755" i="1"/>
  <c r="BV71" i="1"/>
  <c r="D341" i="9" s="1"/>
  <c r="E811" i="1"/>
  <c r="BR71" i="1"/>
  <c r="G309" i="9" s="1"/>
  <c r="E805" i="1"/>
  <c r="H76" i="9"/>
  <c r="BY71" i="1"/>
  <c r="G341" i="9" s="1"/>
  <c r="E798" i="1"/>
  <c r="BM71" i="1"/>
  <c r="E791" i="1"/>
  <c r="D268" i="9"/>
  <c r="I172" i="9"/>
  <c r="E775" i="1"/>
  <c r="H236" i="9"/>
  <c r="E788" i="1"/>
  <c r="BE71" i="1"/>
  <c r="E803" i="1"/>
  <c r="BT71" i="1"/>
  <c r="I300" i="9"/>
  <c r="E807" i="1"/>
  <c r="F332" i="9"/>
  <c r="F300" i="9"/>
  <c r="E800" i="1"/>
  <c r="BQ71" i="1"/>
  <c r="D364" i="9"/>
  <c r="D108" i="9"/>
  <c r="F44" i="9"/>
  <c r="F204" i="9"/>
  <c r="G76" i="9"/>
  <c r="E752" i="1"/>
  <c r="F71" i="1"/>
  <c r="E737" i="1"/>
  <c r="F12" i="9"/>
  <c r="E792" i="1"/>
  <c r="E268" i="9"/>
  <c r="E776" i="1"/>
  <c r="C204" i="9"/>
  <c r="C268" i="9"/>
  <c r="E790" i="1"/>
  <c r="C62" i="1"/>
  <c r="CE48" i="1"/>
  <c r="F76" i="9"/>
  <c r="E751" i="1"/>
  <c r="T71" i="1"/>
  <c r="J806" i="10"/>
  <c r="J776" i="10"/>
  <c r="J755" i="10"/>
  <c r="N815" i="1"/>
  <c r="J759" i="1"/>
  <c r="F51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531" i="1" s="1"/>
  <c r="G530" i="1" s="1"/>
  <c r="CC52" i="1"/>
  <c r="CC67" i="1" s="1"/>
  <c r="CC71" i="1" s="1"/>
  <c r="D373" i="9" s="1"/>
  <c r="AC52" i="1"/>
  <c r="AC67" i="1" s="1"/>
  <c r="AC71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C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E760" i="1"/>
  <c r="F236" i="9"/>
  <c r="E786" i="1"/>
  <c r="I44" i="9"/>
  <c r="E747" i="1"/>
  <c r="P71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E341" i="9" s="1"/>
  <c r="BI52" i="1"/>
  <c r="BI67" i="1" s="1"/>
  <c r="BI71" i="1" s="1"/>
  <c r="K52" i="1"/>
  <c r="K67" i="1" s="1"/>
  <c r="K71" i="1" s="1"/>
  <c r="CB71" i="1"/>
  <c r="C622" i="1" s="1"/>
  <c r="F505" i="1"/>
  <c r="H50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C117" i="9" s="1"/>
  <c r="BH52" i="1"/>
  <c r="BH67" i="1" s="1"/>
  <c r="BH71" i="1" s="1"/>
  <c r="I52" i="1"/>
  <c r="I67" i="1" s="1"/>
  <c r="I71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J781" i="1"/>
  <c r="H209" i="9"/>
  <c r="D337" i="9"/>
  <c r="J805" i="1"/>
  <c r="J751" i="1"/>
  <c r="F81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E760" i="10"/>
  <c r="E770" i="10"/>
  <c r="E786" i="10"/>
  <c r="E802" i="10"/>
  <c r="E810" i="10"/>
  <c r="F498" i="1"/>
  <c r="J788" i="1"/>
  <c r="H241" i="9"/>
  <c r="J768" i="1"/>
  <c r="I145" i="9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35" i="1"/>
  <c r="D17" i="9"/>
  <c r="J800" i="1"/>
  <c r="F305" i="9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49" i="9"/>
  <c r="J744" i="1"/>
  <c r="C369" i="9"/>
  <c r="J811" i="1"/>
  <c r="F17" i="9"/>
  <c r="J737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G241" i="9" l="1"/>
  <c r="J758" i="1"/>
  <c r="J780" i="1"/>
  <c r="BD71" i="1"/>
  <c r="C549" i="1" s="1"/>
  <c r="AW71" i="1"/>
  <c r="C631" i="1" s="1"/>
  <c r="F113" i="9"/>
  <c r="I209" i="9"/>
  <c r="J782" i="1"/>
  <c r="J807" i="1"/>
  <c r="C544" i="1"/>
  <c r="G544" i="1" s="1"/>
  <c r="C672" i="1"/>
  <c r="I213" i="9"/>
  <c r="C559" i="1"/>
  <c r="C619" i="1"/>
  <c r="I245" i="9"/>
  <c r="C616" i="1"/>
  <c r="C500" i="1"/>
  <c r="G500" i="1" s="1"/>
  <c r="F117" i="9"/>
  <c r="C523" i="1"/>
  <c r="G522" i="1" s="1"/>
  <c r="C551" i="1"/>
  <c r="H213" i="9"/>
  <c r="C692" i="1"/>
  <c r="C570" i="1"/>
  <c r="C508" i="1"/>
  <c r="G508" i="1" s="1"/>
  <c r="G53" i="9"/>
  <c r="C688" i="1"/>
  <c r="C702" i="1"/>
  <c r="I149" i="9"/>
  <c r="C506" i="1"/>
  <c r="G506" i="1" s="1"/>
  <c r="C545" i="1"/>
  <c r="G545" i="1" s="1"/>
  <c r="C528" i="1"/>
  <c r="G527" i="1" s="1"/>
  <c r="C525" i="1"/>
  <c r="G524" i="1" s="1"/>
  <c r="G515" i="1"/>
  <c r="H516" i="1"/>
  <c r="H117" i="9"/>
  <c r="C694" i="1"/>
  <c r="C642" i="1"/>
  <c r="I85" i="9"/>
  <c r="C628" i="1"/>
  <c r="J739" i="1"/>
  <c r="I117" i="9"/>
  <c r="C643" i="1"/>
  <c r="C574" i="1"/>
  <c r="J763" i="1"/>
  <c r="J747" i="1"/>
  <c r="C680" i="1"/>
  <c r="C568" i="1"/>
  <c r="G149" i="9"/>
  <c r="C620" i="1"/>
  <c r="H71" i="1"/>
  <c r="C501" i="1" s="1"/>
  <c r="C645" i="1"/>
  <c r="H81" i="9"/>
  <c r="V71" i="1"/>
  <c r="H85" i="9" s="1"/>
  <c r="C535" i="1"/>
  <c r="G534" i="1" s="1"/>
  <c r="G181" i="9"/>
  <c r="C674" i="1"/>
  <c r="C502" i="1"/>
  <c r="G502" i="1" s="1"/>
  <c r="F277" i="9"/>
  <c r="C498" i="1"/>
  <c r="G498" i="1" s="1"/>
  <c r="C679" i="1"/>
  <c r="C703" i="1"/>
  <c r="C547" i="1"/>
  <c r="D149" i="9"/>
  <c r="D145" i="9"/>
  <c r="D305" i="9"/>
  <c r="BX71" i="1"/>
  <c r="C569" i="1" s="1"/>
  <c r="BO71" i="1"/>
  <c r="D309" i="9" s="1"/>
  <c r="C626" i="1"/>
  <c r="C536" i="1"/>
  <c r="G535" i="1" s="1"/>
  <c r="C557" i="1"/>
  <c r="C637" i="1"/>
  <c r="H277" i="9"/>
  <c r="D117" i="9"/>
  <c r="C518" i="1"/>
  <c r="G517" i="1" s="1"/>
  <c r="C690" i="1"/>
  <c r="C524" i="1"/>
  <c r="C149" i="9"/>
  <c r="C696" i="1"/>
  <c r="C539" i="1"/>
  <c r="G538" i="1" s="1"/>
  <c r="C711" i="1"/>
  <c r="D213" i="9"/>
  <c r="F181" i="9"/>
  <c r="C706" i="1"/>
  <c r="C534" i="1"/>
  <c r="G533" i="1" s="1"/>
  <c r="C541" i="1"/>
  <c r="C713" i="1"/>
  <c r="F213" i="9"/>
  <c r="C546" i="1"/>
  <c r="G546" i="1" s="1"/>
  <c r="D245" i="9"/>
  <c r="C630" i="1"/>
  <c r="E213" i="9"/>
  <c r="C712" i="1"/>
  <c r="C540" i="1"/>
  <c r="G539" i="1" s="1"/>
  <c r="C676" i="1"/>
  <c r="D53" i="9"/>
  <c r="C504" i="1"/>
  <c r="G504" i="1" s="1"/>
  <c r="C707" i="1"/>
  <c r="C522" i="1"/>
  <c r="G521" i="1" s="1"/>
  <c r="C529" i="1"/>
  <c r="G528" i="1" s="1"/>
  <c r="C85" i="9"/>
  <c r="C510" i="1"/>
  <c r="G509" i="1" s="1"/>
  <c r="C682" i="1"/>
  <c r="J767" i="1"/>
  <c r="C647" i="1"/>
  <c r="C519" i="1"/>
  <c r="G518" i="1" s="1"/>
  <c r="C517" i="1"/>
  <c r="G516" i="1" s="1"/>
  <c r="J764" i="1"/>
  <c r="AG71" i="1"/>
  <c r="E145" i="9"/>
  <c r="F145" i="9"/>
  <c r="AH71" i="1"/>
  <c r="C617" i="1"/>
  <c r="C632" i="1"/>
  <c r="C678" i="1"/>
  <c r="C670" i="1"/>
  <c r="C708" i="1"/>
  <c r="I21" i="9"/>
  <c r="C701" i="1"/>
  <c r="H145" i="9"/>
  <c r="I341" i="9"/>
  <c r="E117" i="9"/>
  <c r="C503" i="1"/>
  <c r="G503" i="1" s="1"/>
  <c r="C53" i="9"/>
  <c r="C675" i="1"/>
  <c r="C49" i="9"/>
  <c r="J741" i="1"/>
  <c r="J771" i="1"/>
  <c r="AN71" i="1"/>
  <c r="C621" i="1"/>
  <c r="E309" i="9"/>
  <c r="C561" i="1"/>
  <c r="C181" i="9"/>
  <c r="C341" i="9"/>
  <c r="C641" i="1"/>
  <c r="C566" i="1"/>
  <c r="C677" i="1"/>
  <c r="E53" i="9"/>
  <c r="C505" i="1"/>
  <c r="G505" i="1" s="1"/>
  <c r="H309" i="9"/>
  <c r="C564" i="1"/>
  <c r="C689" i="1"/>
  <c r="G113" i="9"/>
  <c r="AB71" i="1"/>
  <c r="C277" i="9"/>
  <c r="C552" i="1"/>
  <c r="C618" i="1"/>
  <c r="C573" i="1"/>
  <c r="G85" i="9"/>
  <c r="C686" i="1"/>
  <c r="C514" i="1"/>
  <c r="G513" i="1" s="1"/>
  <c r="C511" i="1"/>
  <c r="C683" i="1"/>
  <c r="D85" i="9"/>
  <c r="C373" i="9"/>
  <c r="C567" i="1"/>
  <c r="C563" i="1"/>
  <c r="E734" i="1"/>
  <c r="E815" i="1" s="1"/>
  <c r="CE62" i="1"/>
  <c r="C12" i="9"/>
  <c r="C537" i="1"/>
  <c r="G536" i="1" s="1"/>
  <c r="C709" i="1"/>
  <c r="I181" i="9"/>
  <c r="C636" i="1"/>
  <c r="C553" i="1"/>
  <c r="D277" i="9"/>
  <c r="C710" i="1"/>
  <c r="C213" i="9"/>
  <c r="C538" i="1"/>
  <c r="G537" i="1" s="1"/>
  <c r="F21" i="9"/>
  <c r="C671" i="1"/>
  <c r="C499" i="1"/>
  <c r="G499" i="1" s="1"/>
  <c r="C554" i="1"/>
  <c r="E277" i="9"/>
  <c r="C634" i="1"/>
  <c r="F309" i="9"/>
  <c r="C623" i="1"/>
  <c r="C562" i="1"/>
  <c r="C565" i="1"/>
  <c r="I309" i="9"/>
  <c r="C640" i="1"/>
  <c r="C638" i="1"/>
  <c r="C558" i="1"/>
  <c r="I277" i="9"/>
  <c r="C614" i="1"/>
  <c r="C550" i="1"/>
  <c r="H245" i="9"/>
  <c r="C145" i="9"/>
  <c r="J762" i="1"/>
  <c r="J740" i="1"/>
  <c r="I17" i="9"/>
  <c r="J806" i="1"/>
  <c r="E337" i="9"/>
  <c r="J790" i="1"/>
  <c r="C273" i="9"/>
  <c r="I53" i="9"/>
  <c r="C681" i="1"/>
  <c r="C509" i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1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2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1" i="1" s="1"/>
  <c r="C704" i="1"/>
  <c r="D181" i="9"/>
  <c r="F515" i="1"/>
  <c r="F522" i="1"/>
  <c r="F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24" i="1" l="1"/>
  <c r="G245" i="9"/>
  <c r="C542" i="1"/>
  <c r="G213" i="9"/>
  <c r="H522" i="1"/>
  <c r="C644" i="1"/>
  <c r="H544" i="1"/>
  <c r="H510" i="1"/>
  <c r="H508" i="1"/>
  <c r="H546" i="1"/>
  <c r="G501" i="1"/>
  <c r="H501" i="1" s="1"/>
  <c r="H503" i="1"/>
  <c r="H21" i="9"/>
  <c r="C673" i="1"/>
  <c r="H517" i="1"/>
  <c r="H498" i="1"/>
  <c r="C515" i="1"/>
  <c r="C687" i="1"/>
  <c r="F341" i="9"/>
  <c r="H512" i="1"/>
  <c r="H518" i="1"/>
  <c r="C560" i="1"/>
  <c r="C627" i="1"/>
  <c r="C521" i="1"/>
  <c r="G520" i="1" s="1"/>
  <c r="G117" i="9"/>
  <c r="C693" i="1"/>
  <c r="G523" i="1"/>
  <c r="H524" i="1"/>
  <c r="C699" i="1"/>
  <c r="C527" i="1"/>
  <c r="G526" i="1" s="1"/>
  <c r="F149" i="9"/>
  <c r="H514" i="1"/>
  <c r="E181" i="9"/>
  <c r="C533" i="1"/>
  <c r="G532" i="1" s="1"/>
  <c r="C705" i="1"/>
  <c r="C698" i="1"/>
  <c r="E149" i="9"/>
  <c r="C526" i="1"/>
  <c r="G510" i="1"/>
  <c r="H511" i="1"/>
  <c r="H509" i="1"/>
  <c r="D615" i="1"/>
  <c r="H513" i="1"/>
  <c r="C496" i="1"/>
  <c r="C21" i="9"/>
  <c r="C668" i="1"/>
  <c r="G550" i="1"/>
  <c r="H550" i="1" s="1"/>
  <c r="I364" i="9"/>
  <c r="E816" i="1"/>
  <c r="C428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H521" i="1"/>
  <c r="G514" i="1"/>
  <c r="H515" i="1"/>
  <c r="G525" i="1"/>
  <c r="H526" i="1"/>
  <c r="G496" i="1"/>
  <c r="H496" i="1" s="1"/>
  <c r="C716" i="1"/>
  <c r="I373" i="9"/>
  <c r="C715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1" i="1"/>
  <c r="D643" i="1"/>
  <c r="D619" i="1"/>
  <c r="D695" i="1"/>
  <c r="D683" i="1"/>
  <c r="D624" i="1"/>
  <c r="D625" i="1"/>
  <c r="D681" i="1"/>
  <c r="D687" i="1"/>
  <c r="D692" i="1"/>
  <c r="D622" i="1"/>
  <c r="D700" i="1"/>
  <c r="D623" i="1"/>
  <c r="D686" i="1"/>
  <c r="D699" i="1"/>
  <c r="D675" i="1"/>
  <c r="D630" i="1"/>
  <c r="D682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80" i="1"/>
  <c r="D633" i="1"/>
  <c r="D646" i="1"/>
  <c r="D708" i="1"/>
  <c r="D688" i="1"/>
  <c r="D679" i="1"/>
  <c r="D693" i="1"/>
  <c r="D618" i="1"/>
  <c r="D644" i="1"/>
  <c r="D645" i="1"/>
  <c r="D704" i="1"/>
  <c r="D639" i="1"/>
  <c r="D628" i="1"/>
  <c r="D705" i="1"/>
  <c r="D711" i="1"/>
  <c r="D631" i="1"/>
  <c r="D706" i="1"/>
  <c r="D676" i="1"/>
  <c r="C433" i="1"/>
  <c r="C441" i="1" s="1"/>
  <c r="J816" i="1"/>
  <c r="I369" i="9"/>
  <c r="J815" i="10"/>
  <c r="E612" i="1" l="1"/>
  <c r="E623" i="1"/>
  <c r="E716" i="1" s="1"/>
  <c r="D715" i="1"/>
  <c r="E626" i="1" l="1"/>
  <c r="E645" i="1"/>
  <c r="E693" i="1"/>
  <c r="E705" i="1"/>
  <c r="E640" i="1"/>
  <c r="E632" i="1"/>
  <c r="E637" i="1"/>
  <c r="E629" i="1"/>
  <c r="E701" i="1"/>
  <c r="E642" i="1"/>
  <c r="E687" i="1"/>
  <c r="E635" i="1"/>
  <c r="E692" i="1"/>
  <c r="E670" i="1"/>
  <c r="E680" i="1"/>
  <c r="E674" i="1"/>
  <c r="E628" i="1"/>
  <c r="E708" i="1"/>
  <c r="E686" i="1"/>
  <c r="E684" i="1"/>
  <c r="E675" i="1"/>
  <c r="E694" i="1"/>
  <c r="E695" i="1"/>
  <c r="E641" i="1"/>
  <c r="E699" i="1"/>
  <c r="E697" i="1"/>
  <c r="E711" i="1"/>
  <c r="E698" i="1"/>
  <c r="E646" i="1"/>
  <c r="E643" i="1"/>
  <c r="E636" i="1"/>
  <c r="E689" i="1"/>
  <c r="E678" i="1"/>
  <c r="E625" i="1"/>
  <c r="E647" i="1"/>
  <c r="E672" i="1"/>
  <c r="E644" i="1"/>
  <c r="E671" i="1"/>
  <c r="E685" i="1"/>
  <c r="E710" i="1"/>
  <c r="E691" i="1"/>
  <c r="E624" i="1"/>
  <c r="F624" i="1" s="1"/>
  <c r="F693" i="1" s="1"/>
  <c r="E702" i="1"/>
  <c r="E709" i="1"/>
  <c r="E634" i="1"/>
  <c r="E639" i="1"/>
  <c r="E673" i="1"/>
  <c r="E706" i="1"/>
  <c r="E696" i="1"/>
  <c r="E631" i="1"/>
  <c r="E677" i="1"/>
  <c r="E683" i="1"/>
  <c r="E704" i="1"/>
  <c r="E668" i="1"/>
  <c r="E700" i="1"/>
  <c r="E633" i="1"/>
  <c r="E630" i="1"/>
  <c r="E679" i="1"/>
  <c r="E713" i="1"/>
  <c r="E690" i="1"/>
  <c r="E627" i="1"/>
  <c r="E688" i="1"/>
  <c r="E712" i="1"/>
  <c r="E681" i="1"/>
  <c r="E682" i="1"/>
  <c r="E707" i="1"/>
  <c r="E703" i="1"/>
  <c r="E669" i="1"/>
  <c r="E676" i="1"/>
  <c r="E638" i="1"/>
  <c r="F704" i="1" l="1"/>
  <c r="F632" i="1"/>
  <c r="F628" i="1"/>
  <c r="F646" i="1"/>
  <c r="F631" i="1"/>
  <c r="F630" i="1"/>
  <c r="F709" i="1"/>
  <c r="F668" i="1"/>
  <c r="F716" i="1"/>
  <c r="F647" i="1"/>
  <c r="F645" i="1"/>
  <c r="F680" i="1"/>
  <c r="F626" i="1"/>
  <c r="F682" i="1"/>
  <c r="F685" i="1"/>
  <c r="F690" i="1"/>
  <c r="F710" i="1"/>
  <c r="F701" i="1"/>
  <c r="F713" i="1"/>
  <c r="F639" i="1"/>
  <c r="F679" i="1"/>
  <c r="F636" i="1"/>
  <c r="F699" i="1"/>
  <c r="F681" i="1"/>
  <c r="F634" i="1"/>
  <c r="F677" i="1"/>
  <c r="F637" i="1"/>
  <c r="F633" i="1"/>
  <c r="F684" i="1"/>
  <c r="F691" i="1"/>
  <c r="F698" i="1"/>
  <c r="F700" i="1"/>
  <c r="F705" i="1"/>
  <c r="F642" i="1"/>
  <c r="F688" i="1"/>
  <c r="F640" i="1"/>
  <c r="F708" i="1"/>
  <c r="F643" i="1"/>
  <c r="F711" i="1"/>
  <c r="F678" i="1"/>
  <c r="F669" i="1"/>
  <c r="F712" i="1"/>
  <c r="F707" i="1"/>
  <c r="F670" i="1"/>
  <c r="F706" i="1"/>
  <c r="F687" i="1"/>
  <c r="F686" i="1"/>
  <c r="F671" i="1"/>
  <c r="F683" i="1"/>
  <c r="F627" i="1"/>
  <c r="F675" i="1"/>
  <c r="F635" i="1"/>
  <c r="F644" i="1"/>
  <c r="F629" i="1"/>
  <c r="F697" i="1"/>
  <c r="F638" i="1"/>
  <c r="F695" i="1"/>
  <c r="F696" i="1"/>
  <c r="F702" i="1"/>
  <c r="F692" i="1"/>
  <c r="F703" i="1"/>
  <c r="F625" i="1"/>
  <c r="F674" i="1"/>
  <c r="F676" i="1"/>
  <c r="F689" i="1"/>
  <c r="F673" i="1"/>
  <c r="F694" i="1"/>
  <c r="F672" i="1"/>
  <c r="F641" i="1"/>
  <c r="E715" i="1"/>
  <c r="F715" i="1" l="1"/>
  <c r="G624" i="1"/>
  <c r="G688" i="1" s="1"/>
  <c r="G635" i="1" l="1"/>
  <c r="G695" i="1"/>
  <c r="G699" i="1"/>
  <c r="G708" i="1"/>
  <c r="G698" i="1"/>
  <c r="G672" i="1"/>
  <c r="G634" i="1"/>
  <c r="G700" i="1"/>
  <c r="G703" i="1"/>
  <c r="G704" i="1"/>
  <c r="G631" i="1"/>
  <c r="G692" i="1"/>
  <c r="G680" i="1"/>
  <c r="G707" i="1"/>
  <c r="G685" i="1"/>
  <c r="G697" i="1"/>
  <c r="G675" i="1"/>
  <c r="G673" i="1"/>
  <c r="G640" i="1"/>
  <c r="G668" i="1"/>
  <c r="G629" i="1"/>
  <c r="G641" i="1"/>
  <c r="G694" i="1"/>
  <c r="G686" i="1"/>
  <c r="G709" i="1"/>
  <c r="G706" i="1"/>
  <c r="G639" i="1"/>
  <c r="G702" i="1"/>
  <c r="G626" i="1"/>
  <c r="G636" i="1"/>
  <c r="G632" i="1"/>
  <c r="G683" i="1"/>
  <c r="G678" i="1"/>
  <c r="G642" i="1"/>
  <c r="G630" i="1"/>
  <c r="G670" i="1"/>
  <c r="G679" i="1"/>
  <c r="G628" i="1"/>
  <c r="G687" i="1"/>
  <c r="G676" i="1"/>
  <c r="G689" i="1"/>
  <c r="G645" i="1"/>
  <c r="G711" i="1"/>
  <c r="G701" i="1"/>
  <c r="G646" i="1"/>
  <c r="G716" i="1"/>
  <c r="G677" i="1"/>
  <c r="G684" i="1"/>
  <c r="G713" i="1"/>
  <c r="G691" i="1"/>
  <c r="G693" i="1"/>
  <c r="G712" i="1"/>
  <c r="G682" i="1"/>
  <c r="G638" i="1"/>
  <c r="G674" i="1"/>
  <c r="G633" i="1"/>
  <c r="G669" i="1"/>
  <c r="G643" i="1"/>
  <c r="G681" i="1"/>
  <c r="G671" i="1"/>
  <c r="G705" i="1"/>
  <c r="G696" i="1"/>
  <c r="G627" i="1"/>
  <c r="G625" i="1"/>
  <c r="G644" i="1"/>
  <c r="G637" i="1"/>
  <c r="G710" i="1"/>
  <c r="G690" i="1"/>
  <c r="G715" i="1" l="1"/>
  <c r="H628" i="1"/>
  <c r="H672" i="1" l="1"/>
  <c r="H676" i="1"/>
  <c r="H630" i="1"/>
  <c r="H698" i="1"/>
  <c r="H706" i="1"/>
  <c r="H677" i="1"/>
  <c r="H703" i="1"/>
  <c r="H693" i="1"/>
  <c r="H680" i="1"/>
  <c r="H695" i="1"/>
  <c r="H674" i="1"/>
  <c r="H635" i="1"/>
  <c r="H713" i="1"/>
  <c r="H641" i="1"/>
  <c r="H644" i="1"/>
  <c r="H710" i="1"/>
  <c r="H704" i="1"/>
  <c r="H669" i="1"/>
  <c r="H634" i="1"/>
  <c r="H638" i="1"/>
  <c r="H678" i="1"/>
  <c r="H688" i="1"/>
  <c r="H705" i="1"/>
  <c r="H646" i="1"/>
  <c r="H689" i="1"/>
  <c r="H681" i="1"/>
  <c r="H709" i="1"/>
  <c r="H670" i="1"/>
  <c r="H642" i="1"/>
  <c r="H679" i="1"/>
  <c r="H668" i="1"/>
  <c r="H712" i="1"/>
  <c r="H685" i="1"/>
  <c r="H708" i="1"/>
  <c r="H633" i="1"/>
  <c r="H683" i="1"/>
  <c r="H716" i="1"/>
  <c r="H647" i="1"/>
  <c r="H690" i="1"/>
  <c r="H694" i="1"/>
  <c r="H629" i="1"/>
  <c r="I629" i="1" s="1"/>
  <c r="I646" i="1" s="1"/>
  <c r="H711" i="1"/>
  <c r="H631" i="1"/>
  <c r="H637" i="1"/>
  <c r="H687" i="1"/>
  <c r="H702" i="1"/>
  <c r="H636" i="1"/>
  <c r="H692" i="1"/>
  <c r="H700" i="1"/>
  <c r="H684" i="1"/>
  <c r="H699" i="1"/>
  <c r="H639" i="1"/>
  <c r="H697" i="1"/>
  <c r="H707" i="1"/>
  <c r="H682" i="1"/>
  <c r="H691" i="1"/>
  <c r="H643" i="1"/>
  <c r="H645" i="1"/>
  <c r="H686" i="1"/>
  <c r="H675" i="1"/>
  <c r="H701" i="1"/>
  <c r="H632" i="1"/>
  <c r="H640" i="1"/>
  <c r="H696" i="1"/>
  <c r="H671" i="1"/>
  <c r="H673" i="1"/>
  <c r="I701" i="1" l="1"/>
  <c r="I694" i="1"/>
  <c r="M694" i="1" s="1"/>
  <c r="Y760" i="1" s="1"/>
  <c r="I669" i="1"/>
  <c r="M669" i="1" s="1"/>
  <c r="I710" i="1"/>
  <c r="M710" i="1" s="1"/>
  <c r="I640" i="1"/>
  <c r="I699" i="1"/>
  <c r="M699" i="1" s="1"/>
  <c r="F151" i="9" s="1"/>
  <c r="I697" i="1"/>
  <c r="M697" i="1" s="1"/>
  <c r="I711" i="1"/>
  <c r="I713" i="1"/>
  <c r="I684" i="1"/>
  <c r="I707" i="1"/>
  <c r="I639" i="1"/>
  <c r="I668" i="1"/>
  <c r="I693" i="1"/>
  <c r="M693" i="1" s="1"/>
  <c r="Y759" i="1" s="1"/>
  <c r="I702" i="1"/>
  <c r="M702" i="1" s="1"/>
  <c r="I637" i="1"/>
  <c r="I703" i="1"/>
  <c r="I691" i="1"/>
  <c r="I642" i="1"/>
  <c r="I672" i="1"/>
  <c r="M672" i="1" s="1"/>
  <c r="I698" i="1"/>
  <c r="M698" i="1" s="1"/>
  <c r="I683" i="1"/>
  <c r="M683" i="1" s="1"/>
  <c r="Y749" i="1" s="1"/>
  <c r="I674" i="1"/>
  <c r="M674" i="1" s="1"/>
  <c r="I23" i="9" s="1"/>
  <c r="I678" i="1"/>
  <c r="M678" i="1" s="1"/>
  <c r="I680" i="1"/>
  <c r="I632" i="1"/>
  <c r="I700" i="1"/>
  <c r="M700" i="1" s="1"/>
  <c r="I634" i="1"/>
  <c r="I677" i="1"/>
  <c r="I645" i="1"/>
  <c r="I705" i="1"/>
  <c r="I647" i="1"/>
  <c r="I671" i="1"/>
  <c r="M671" i="1" s="1"/>
  <c r="I682" i="1"/>
  <c r="M682" i="1" s="1"/>
  <c r="I638" i="1"/>
  <c r="I690" i="1"/>
  <c r="I708" i="1"/>
  <c r="M708" i="1" s="1"/>
  <c r="I636" i="1"/>
  <c r="I670" i="1"/>
  <c r="I641" i="1"/>
  <c r="I709" i="1"/>
  <c r="M709" i="1" s="1"/>
  <c r="Y775" i="1" s="1"/>
  <c r="I692" i="1"/>
  <c r="I706" i="1"/>
  <c r="I687" i="1"/>
  <c r="M687" i="1" s="1"/>
  <c r="I696" i="1"/>
  <c r="M696" i="1" s="1"/>
  <c r="I679" i="1"/>
  <c r="I688" i="1"/>
  <c r="I685" i="1"/>
  <c r="M685" i="1" s="1"/>
  <c r="I704" i="1"/>
  <c r="I712" i="1"/>
  <c r="I716" i="1"/>
  <c r="I681" i="1"/>
  <c r="M681" i="1" s="1"/>
  <c r="I673" i="1"/>
  <c r="M673" i="1" s="1"/>
  <c r="I689" i="1"/>
  <c r="M689" i="1" s="1"/>
  <c r="I630" i="1"/>
  <c r="J630" i="1" s="1"/>
  <c r="I676" i="1"/>
  <c r="M676" i="1" s="1"/>
  <c r="I633" i="1"/>
  <c r="I643" i="1"/>
  <c r="I695" i="1"/>
  <c r="I644" i="1"/>
  <c r="I635" i="1"/>
  <c r="I631" i="1"/>
  <c r="I686" i="1"/>
  <c r="I675" i="1"/>
  <c r="H715" i="1"/>
  <c r="C151" i="9" l="1"/>
  <c r="Y762" i="1"/>
  <c r="I715" i="1"/>
  <c r="Y765" i="1"/>
  <c r="H119" i="9"/>
  <c r="D87" i="9"/>
  <c r="I183" i="9"/>
  <c r="Y740" i="1"/>
  <c r="G119" i="9"/>
  <c r="Y751" i="1"/>
  <c r="F87" i="9"/>
  <c r="C87" i="9"/>
  <c r="Y748" i="1"/>
  <c r="H87" i="9"/>
  <c r="Y753" i="1"/>
  <c r="Y742" i="1"/>
  <c r="D55" i="9"/>
  <c r="F55" i="9"/>
  <c r="Y744" i="1"/>
  <c r="C215" i="9"/>
  <c r="Y776" i="1"/>
  <c r="D23" i="9"/>
  <c r="Y735" i="1"/>
  <c r="F23" i="9"/>
  <c r="Y737" i="1"/>
  <c r="H183" i="9"/>
  <c r="Y774" i="1"/>
  <c r="G23" i="9"/>
  <c r="Y738" i="1"/>
  <c r="H23" i="9"/>
  <c r="Y739" i="1"/>
  <c r="Y764" i="1"/>
  <c r="E151" i="9"/>
  <c r="Y768" i="1"/>
  <c r="I151" i="9"/>
  <c r="Y766" i="1"/>
  <c r="G151" i="9"/>
  <c r="C119" i="9"/>
  <c r="Y755" i="1"/>
  <c r="D151" i="9"/>
  <c r="Y763" i="1"/>
  <c r="I55" i="9"/>
  <c r="Y747" i="1"/>
  <c r="J637" i="1"/>
  <c r="J712" i="1"/>
  <c r="J634" i="1"/>
  <c r="J674" i="1"/>
  <c r="J641" i="1"/>
  <c r="J678" i="1"/>
  <c r="J642" i="1"/>
  <c r="J640" i="1"/>
  <c r="J687" i="1"/>
  <c r="J643" i="1"/>
  <c r="J633" i="1"/>
  <c r="J700" i="1"/>
  <c r="J703" i="1"/>
  <c r="J690" i="1"/>
  <c r="J669" i="1"/>
  <c r="J709" i="1"/>
  <c r="J708" i="1"/>
  <c r="J644" i="1"/>
  <c r="K644" i="1" s="1"/>
  <c r="J645" i="1"/>
  <c r="J647" i="1"/>
  <c r="L647" i="1" s="1"/>
  <c r="J638" i="1"/>
  <c r="J691" i="1"/>
  <c r="J692" i="1"/>
  <c r="J677" i="1"/>
  <c r="J711" i="1"/>
  <c r="J695" i="1"/>
  <c r="J676" i="1"/>
  <c r="J686" i="1"/>
  <c r="J707" i="1"/>
  <c r="J636" i="1"/>
  <c r="J710" i="1"/>
  <c r="J672" i="1"/>
  <c r="J646" i="1"/>
  <c r="J699" i="1"/>
  <c r="J679" i="1"/>
  <c r="J668" i="1"/>
  <c r="J670" i="1"/>
  <c r="J713" i="1"/>
  <c r="J688" i="1"/>
  <c r="J705" i="1"/>
  <c r="J685" i="1"/>
  <c r="J689" i="1"/>
  <c r="J681" i="1"/>
  <c r="J632" i="1"/>
  <c r="J698" i="1"/>
  <c r="J635" i="1"/>
  <c r="J671" i="1"/>
  <c r="J697" i="1"/>
  <c r="J701" i="1"/>
  <c r="J704" i="1"/>
  <c r="J683" i="1"/>
  <c r="J675" i="1"/>
  <c r="J680" i="1"/>
  <c r="J684" i="1"/>
  <c r="J693" i="1"/>
  <c r="J682" i="1"/>
  <c r="J716" i="1"/>
  <c r="J702" i="1"/>
  <c r="J706" i="1"/>
  <c r="J631" i="1"/>
  <c r="J715" i="1" s="1"/>
  <c r="J639" i="1"/>
  <c r="J694" i="1"/>
  <c r="J673" i="1"/>
  <c r="J696" i="1"/>
  <c r="L705" i="1" l="1"/>
  <c r="M705" i="1" s="1"/>
  <c r="L712" i="1"/>
  <c r="M712" i="1" s="1"/>
  <c r="L698" i="1"/>
  <c r="L668" i="1"/>
  <c r="L690" i="1"/>
  <c r="M690" i="1" s="1"/>
  <c r="L682" i="1"/>
  <c r="L699" i="1"/>
  <c r="L710" i="1"/>
  <c r="L678" i="1"/>
  <c r="L691" i="1"/>
  <c r="M691" i="1" s="1"/>
  <c r="L669" i="1"/>
  <c r="L683" i="1"/>
  <c r="L684" i="1"/>
  <c r="M684" i="1" s="1"/>
  <c r="L700" i="1"/>
  <c r="L703" i="1"/>
  <c r="M703" i="1" s="1"/>
  <c r="L680" i="1"/>
  <c r="M680" i="1" s="1"/>
  <c r="L713" i="1"/>
  <c r="M713" i="1" s="1"/>
  <c r="L695" i="1"/>
  <c r="M695" i="1" s="1"/>
  <c r="L704" i="1"/>
  <c r="M704" i="1" s="1"/>
  <c r="L694" i="1"/>
  <c r="L707" i="1"/>
  <c r="M707" i="1" s="1"/>
  <c r="L675" i="1"/>
  <c r="M675" i="1" s="1"/>
  <c r="L693" i="1"/>
  <c r="L670" i="1"/>
  <c r="M670" i="1" s="1"/>
  <c r="L687" i="1"/>
  <c r="L706" i="1"/>
  <c r="M706" i="1" s="1"/>
  <c r="L672" i="1"/>
  <c r="L709" i="1"/>
  <c r="L702" i="1"/>
  <c r="L708" i="1"/>
  <c r="L681" i="1"/>
  <c r="L701" i="1"/>
  <c r="M701" i="1" s="1"/>
  <c r="L692" i="1"/>
  <c r="M692" i="1" s="1"/>
  <c r="L674" i="1"/>
  <c r="L673" i="1"/>
  <c r="L696" i="1"/>
  <c r="L711" i="1"/>
  <c r="M711" i="1" s="1"/>
  <c r="L677" i="1"/>
  <c r="M677" i="1" s="1"/>
  <c r="L697" i="1"/>
  <c r="L686" i="1"/>
  <c r="M686" i="1" s="1"/>
  <c r="L689" i="1"/>
  <c r="L688" i="1"/>
  <c r="M688" i="1" s="1"/>
  <c r="L716" i="1"/>
  <c r="L671" i="1"/>
  <c r="L685" i="1"/>
  <c r="L676" i="1"/>
  <c r="L679" i="1"/>
  <c r="M679" i="1" s="1"/>
  <c r="K716" i="1"/>
  <c r="K687" i="1"/>
  <c r="K685" i="1"/>
  <c r="K676" i="1"/>
  <c r="K701" i="1"/>
  <c r="K689" i="1"/>
  <c r="K706" i="1"/>
  <c r="K696" i="1"/>
  <c r="K673" i="1"/>
  <c r="K677" i="1"/>
  <c r="K709" i="1"/>
  <c r="K698" i="1"/>
  <c r="K671" i="1"/>
  <c r="K670" i="1"/>
  <c r="K672" i="1"/>
  <c r="K679" i="1"/>
  <c r="K711" i="1"/>
  <c r="K703" i="1"/>
  <c r="K700" i="1"/>
  <c r="K713" i="1"/>
  <c r="K699" i="1"/>
  <c r="K708" i="1"/>
  <c r="K694" i="1"/>
  <c r="K681" i="1"/>
  <c r="K688" i="1"/>
  <c r="K686" i="1"/>
  <c r="K704" i="1"/>
  <c r="K702" i="1"/>
  <c r="K684" i="1"/>
  <c r="K712" i="1"/>
  <c r="K675" i="1"/>
  <c r="K691" i="1"/>
  <c r="K669" i="1"/>
  <c r="K692" i="1"/>
  <c r="K682" i="1"/>
  <c r="K693" i="1"/>
  <c r="K668" i="1"/>
  <c r="K715" i="1" s="1"/>
  <c r="K680" i="1"/>
  <c r="K705" i="1"/>
  <c r="K690" i="1"/>
  <c r="K710" i="1"/>
  <c r="K707" i="1"/>
  <c r="K697" i="1"/>
  <c r="K674" i="1"/>
  <c r="K683" i="1"/>
  <c r="K678" i="1"/>
  <c r="K695" i="1"/>
  <c r="H151" i="9" l="1"/>
  <c r="Y767" i="1"/>
  <c r="E23" i="9"/>
  <c r="Y736" i="1"/>
  <c r="H55" i="9"/>
  <c r="Y746" i="1"/>
  <c r="L715" i="1"/>
  <c r="M668" i="1"/>
  <c r="G55" i="9"/>
  <c r="Y745" i="1"/>
  <c r="D183" i="9"/>
  <c r="Y770" i="1"/>
  <c r="Y769" i="1"/>
  <c r="C183" i="9"/>
  <c r="G87" i="9"/>
  <c r="Y752" i="1"/>
  <c r="Y743" i="1"/>
  <c r="E55" i="9"/>
  <c r="F183" i="9"/>
  <c r="Y772" i="1"/>
  <c r="Y741" i="1"/>
  <c r="C55" i="9"/>
  <c r="Y761" i="1"/>
  <c r="I119" i="9"/>
  <c r="Y757" i="1"/>
  <c r="E119" i="9"/>
  <c r="Y778" i="1"/>
  <c r="E215" i="9"/>
  <c r="I87" i="9"/>
  <c r="Y754" i="1"/>
  <c r="D215" i="9"/>
  <c r="Y777" i="1"/>
  <c r="Y758" i="1"/>
  <c r="F119" i="9"/>
  <c r="Y773" i="1"/>
  <c r="G183" i="9"/>
  <c r="Y779" i="1"/>
  <c r="F215" i="9"/>
  <c r="E87" i="9"/>
  <c r="Y750" i="1"/>
  <c r="Y756" i="1"/>
  <c r="D119" i="9"/>
  <c r="E183" i="9"/>
  <c r="Y771" i="1"/>
  <c r="Y734" i="1" l="1"/>
  <c r="Y815" i="1" s="1"/>
  <c r="C23" i="9"/>
  <c r="M715" i="1"/>
  <c r="E7" i="4"/>
  <c r="AA726" i="1"/>
  <c r="G7" i="4"/>
  <c r="E141" i="1"/>
  <c r="G10" i="4" s="1"/>
  <c r="E10" i="4" l="1"/>
  <c r="D463" i="1"/>
  <c r="D465" i="1" s="1"/>
</calcChain>
</file>

<file path=xl/sharedStrings.xml><?xml version="1.0" encoding="utf-8"?>
<sst xmlns="http://schemas.openxmlformats.org/spreadsheetml/2006/main" count="5067" uniqueCount="1285">
  <si>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</si>
  <si>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</si>
  <si>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</si>
  <si>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</si>
  <si>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</si>
  <si>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</si>
  <si>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</si>
  <si>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</si>
  <si>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</si>
  <si>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</si>
  <si>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</si>
  <si>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</si>
  <si>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</si>
  <si>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</si>
  <si>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</si>
  <si>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</si>
  <si>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</si>
  <si>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</si>
  <si>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</si>
  <si>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</si>
  <si>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</si>
  <si>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</si>
  <si>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</si>
  <si>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</si>
  <si>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</si>
  <si>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</si>
  <si>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</si>
  <si>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</si>
  <si>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</si>
  <si>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</si>
  <si>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</si>
  <si>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</si>
  <si>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</si>
  <si>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</si>
  <si>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</si>
  <si>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</si>
  <si>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</si>
  <si>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</si>
  <si>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</si>
  <si>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</si>
  <si>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</si>
  <si>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</si>
  <si>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</si>
  <si>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</si>
  <si>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</si>
  <si>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</si>
  <si>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</si>
  <si>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</si>
  <si>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</si>
  <si>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</si>
  <si>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</si>
  <si>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</si>
  <si>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</si>
  <si>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</si>
  <si>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</si>
  <si>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</si>
  <si>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</si>
  <si>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</si>
  <si>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</si>
  <si>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</si>
  <si>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</si>
  <si>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</si>
  <si>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</si>
  <si>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</si>
  <si>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</si>
  <si>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</si>
  <si>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</si>
  <si>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</si>
  <si>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</si>
  <si>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</si>
  <si>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</si>
  <si>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</si>
  <si>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</si>
  <si>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</si>
  <si>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</si>
  <si>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</si>
  <si>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</si>
  <si>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</si>
  <si>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</si>
  <si>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</si>
  <si>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</si>
  <si>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</si>
  <si>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</si>
  <si>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</si>
  <si>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</si>
  <si>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</si>
  <si>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</si>
  <si>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</si>
  <si>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</si>
  <si>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</si>
  <si>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</si>
  <si>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</si>
  <si>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</si>
  <si>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</si>
  <si>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</si>
  <si>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</si>
  <si>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</si>
  <si>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</si>
  <si>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</si>
  <si>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</si>
  <si>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</si>
  <si>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</si>
  <si>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</si>
  <si>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</si>
  <si>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</si>
  <si>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</si>
  <si>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</si>
  <si>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</si>
  <si>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</si>
  <si>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</si>
  <si>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</si>
  <si>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</si>
  <si>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</si>
  <si>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</si>
  <si>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</si>
  <si>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</si>
  <si>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</si>
  <si>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</si>
  <si>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</si>
  <si>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</si>
  <si>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</si>
  <si>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</si>
  <si>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</si>
  <si>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</si>
  <si>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</si>
  <si>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</si>
  <si>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</si>
  <si>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</si>
  <si>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</si>
  <si>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</si>
  <si>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</si>
  <si>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</si>
  <si>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</si>
  <si>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</si>
  <si>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</si>
  <si>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</si>
  <si>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</si>
  <si>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</si>
  <si>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</si>
  <si>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</si>
  <si>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</si>
  <si>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</si>
  <si>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</si>
  <si>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</si>
  <si>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</si>
  <si>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</si>
  <si>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</si>
  <si>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</si>
  <si>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</si>
  <si>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</si>
  <si>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</si>
  <si>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</si>
  <si>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</si>
  <si>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</si>
  <si>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</si>
  <si>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</si>
  <si>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</si>
  <si>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</si>
  <si>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</si>
  <si>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</si>
  <si>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</si>
  <si>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</si>
  <si>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</si>
  <si>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</si>
  <si>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</si>
  <si>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</si>
  <si>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</si>
  <si>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</si>
  <si>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</si>
  <si>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</si>
  <si>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</si>
  <si>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</si>
  <si>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</si>
  <si>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</si>
  <si>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</si>
  <si>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</si>
  <si>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</si>
  <si>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</si>
  <si>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</si>
  <si>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</si>
  <si>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</si>
  <si>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</si>
  <si>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</si>
  <si>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</si>
  <si>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</si>
  <si>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</si>
  <si>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</si>
  <si>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</si>
  <si>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</si>
  <si>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</si>
  <si>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</si>
  <si>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</si>
  <si>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</si>
  <si>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</si>
  <si>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</si>
  <si>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</si>
  <si>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</si>
  <si>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</si>
  <si>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</si>
  <si>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</si>
  <si>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</si>
  <si>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</si>
  <si>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</si>
  <si>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</si>
  <si>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</si>
  <si>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</si>
  <si>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</si>
  <si>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</si>
  <si>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</si>
  <si>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</si>
  <si>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</si>
  <si>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</si>
  <si>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</si>
  <si>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</si>
  <si>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</si>
  <si>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</si>
  <si>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</si>
  <si>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</si>
  <si>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</si>
  <si>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</si>
  <si>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</si>
  <si>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</si>
  <si>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</si>
  <si>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</si>
  <si>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</si>
  <si>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</si>
  <si>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</si>
  <si>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</si>
  <si>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</si>
  <si>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</si>
  <si>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</si>
  <si>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</si>
  <si>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</si>
  <si>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</si>
  <si>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</si>
  <si>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</si>
  <si>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</si>
  <si>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</si>
  <si>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</si>
  <si>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</si>
  <si>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</si>
  <si>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</si>
  <si>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</si>
  <si>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</si>
  <si>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</si>
  <si>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</si>
  <si>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</si>
  <si>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</si>
  <si>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</si>
  <si>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</si>
  <si>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</si>
  <si>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</si>
  <si>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</si>
  <si>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</si>
  <si>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</si>
  <si>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</si>
  <si>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</si>
  <si>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</si>
  <si>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</si>
  <si>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</si>
  <si>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</si>
  <si>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</si>
  <si>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</si>
  <si>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</si>
  <si>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</si>
  <si>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</si>
  <si>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</si>
  <si>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</si>
  <si>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</si>
  <si>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</si>
  <si>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</si>
  <si>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</si>
  <si>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</si>
  <si>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</si>
  <si>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</si>
  <si>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</si>
  <si>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</si>
  <si>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</si>
  <si>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</si>
  <si>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</si>
  <si>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</si>
  <si>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</si>
  <si>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</si>
  <si>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</si>
  <si>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</si>
  <si>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</si>
  <si>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</si>
  <si>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</si>
  <si>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</si>
  <si>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</si>
  <si>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</si>
  <si>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</si>
  <si>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</si>
  <si>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</si>
  <si>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</si>
  <si>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</si>
  <si>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</si>
  <si>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</si>
  <si>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</si>
  <si>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</si>
  <si>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</si>
  <si>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</si>
  <si>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</si>
  <si>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</si>
  <si>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</si>
  <si>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</si>
  <si>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</si>
  <si>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</si>
  <si>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</si>
  <si>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</si>
  <si>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</si>
  <si>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</si>
  <si>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</si>
  <si>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</si>
  <si>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</si>
  <si>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</si>
  <si>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</si>
  <si>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</si>
  <si>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</si>
  <si>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</si>
  <si>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</si>
  <si>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</si>
  <si>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</si>
  <si>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</si>
  <si>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</si>
  <si>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</si>
  <si>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</si>
  <si>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</si>
  <si>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</si>
  <si>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</si>
  <si>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</si>
  <si>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</si>
  <si>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</si>
  <si>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</si>
  <si>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</si>
  <si>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</si>
  <si>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</si>
  <si>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</si>
  <si>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</si>
  <si>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</si>
  <si>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</si>
  <si>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</si>
  <si>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</si>
  <si>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</si>
  <si>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</si>
  <si>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</si>
  <si>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</si>
  <si>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</si>
  <si>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</si>
  <si>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</si>
  <si>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</si>
  <si>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</si>
  <si>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</si>
  <si>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</si>
  <si>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</si>
  <si>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</si>
  <si>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</si>
  <si>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</si>
  <si>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</si>
  <si>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</si>
  <si>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</si>
  <si>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</si>
  <si>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</si>
  <si>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</si>
  <si>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</si>
  <si>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</si>
  <si>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</si>
  <si>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</si>
  <si>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</si>
  <si>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</si>
  <si>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</si>
  <si>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</si>
  <si>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</si>
  <si>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</si>
  <si>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</si>
  <si>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</si>
  <si>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</si>
  <si>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</si>
  <si>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</si>
  <si>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</si>
  <si>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</si>
  <si>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</si>
  <si>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</si>
  <si>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</si>
  <si>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</si>
  <si>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</si>
  <si>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</si>
  <si>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</si>
  <si>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</si>
  <si>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</si>
  <si>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</si>
  <si>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</si>
  <si>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</si>
  <si>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</si>
  <si>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</si>
  <si>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</si>
  <si>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</si>
  <si>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</si>
  <si>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</si>
  <si>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</si>
  <si>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</si>
  <si>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</si>
  <si>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</si>
  <si>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</si>
  <si>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</si>
  <si>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</si>
  <si>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</si>
  <si>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</si>
  <si>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</si>
  <si>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</si>
  <si>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</si>
  <si>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</si>
  <si>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</si>
  <si>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</si>
  <si>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</si>
  <si>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</si>
  <si>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</si>
  <si>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</si>
  <si>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</si>
  <si>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</si>
  <si>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</si>
  <si>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</si>
  <si>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</si>
  <si>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</si>
  <si>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</si>
  <si>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</si>
  <si>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</si>
  <si>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</si>
  <si>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</si>
  <si>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</si>
  <si>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</si>
  <si>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</si>
  <si>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</si>
  <si>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</si>
  <si>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</si>
  <si>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</si>
  <si>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</si>
  <si>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</si>
  <si>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</si>
  <si>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</si>
  <si>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</si>
  <si>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</si>
  <si>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</si>
  <si>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</si>
  <si>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</si>
  <si>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</si>
  <si>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</si>
  <si>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</si>
  <si>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</si>
  <si>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</si>
  <si>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</si>
  <si>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</si>
  <si>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</si>
  <si>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</si>
  <si>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</si>
  <si>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</si>
  <si>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</si>
  <si>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</si>
  <si>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</si>
  <si>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</si>
  <si>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</si>
  <si>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</si>
  <si>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</si>
  <si>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</si>
  <si>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</si>
  <si>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</si>
  <si>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</si>
  <si>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</si>
  <si>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</si>
  <si>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</si>
  <si>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</si>
  <si>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</si>
  <si>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</si>
  <si>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</si>
  <si>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</si>
  <si>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</si>
  <si>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</si>
  <si>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</si>
  <si>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</si>
  <si>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</si>
  <si>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</si>
  <si>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</si>
  <si>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</si>
  <si>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</si>
  <si>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</si>
  <si>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</si>
  <si>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</si>
  <si>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</si>
  <si>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</si>
  <si>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</si>
  <si>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</si>
  <si>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</si>
  <si>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</si>
  <si>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</si>
  <si>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</si>
  <si>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</si>
  <si>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</si>
  <si>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</si>
  <si>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</si>
  <si>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</si>
  <si>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</si>
  <si>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</si>
  <si>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</si>
  <si>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</si>
  <si>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</si>
  <si>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</si>
  <si>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</si>
  <si>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</si>
  <si>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</si>
  <si>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</si>
  <si>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</si>
  <si>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</si>
  <si>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</si>
  <si>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</si>
  <si>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</si>
  <si>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</si>
  <si>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</si>
  <si>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</si>
  <si>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</si>
  <si>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</si>
  <si>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</si>
  <si>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</si>
  <si>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</si>
  <si>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</si>
  <si>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</si>
  <si>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</si>
  <si>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</si>
  <si>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</si>
  <si>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</si>
  <si>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</si>
  <si>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</si>
  <si>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</si>
  <si>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</si>
  <si>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</si>
  <si>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</si>
  <si>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</si>
  <si>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</si>
  <si>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</si>
  <si>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</si>
  <si>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</si>
  <si>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</si>
  <si>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</si>
  <si>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</si>
  <si>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</si>
  <si>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</si>
  <si>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</si>
  <si>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</si>
  <si>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</si>
  <si>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</si>
  <si>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</si>
  <si>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</si>
  <si>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</si>
  <si>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</si>
  <si>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</si>
  <si>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</si>
  <si>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</si>
  <si>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</si>
  <si>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</si>
  <si>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</si>
  <si>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</si>
  <si>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</si>
  <si>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</si>
  <si>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</si>
  <si>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</si>
  <si>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</si>
  <si>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</si>
  <si>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</si>
  <si>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</si>
  <si>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</si>
  <si>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</si>
  <si>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</si>
  <si>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</si>
  <si>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</si>
  <si>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</si>
  <si>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</si>
  <si>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</si>
  <si>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</si>
  <si>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</si>
  <si>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</si>
  <si>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</si>
  <si>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</si>
  <si>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</si>
  <si>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</si>
  <si>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</si>
  <si>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</si>
  <si>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</si>
  <si>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</si>
  <si>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</si>
  <si>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</si>
  <si>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</si>
  <si>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</si>
  <si>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</si>
  <si>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</si>
  <si>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</si>
  <si>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</si>
  <si>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</si>
  <si>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</si>
  <si>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</si>
  <si>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</si>
  <si>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</si>
  <si>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</si>
  <si>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</si>
  <si>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</si>
  <si>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</si>
  <si>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</si>
  <si>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</si>
  <si>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</si>
  <si>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</si>
  <si>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</si>
  <si>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</si>
  <si>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</si>
  <si>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</si>
  <si>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</si>
  <si>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</si>
  <si>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</si>
  <si>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</si>
  <si>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</si>
  <si>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</si>
  <si>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</si>
  <si>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</si>
  <si>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</si>
  <si>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</si>
  <si>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</si>
  <si>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</si>
  <si>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</si>
  <si>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</si>
  <si>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</si>
  <si>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</si>
  <si>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</si>
  <si>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</si>
  <si>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</si>
  <si>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</si>
  <si>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</si>
  <si>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</si>
  <si>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</si>
  <si>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</si>
  <si>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</si>
  <si>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</si>
  <si>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</si>
  <si>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</si>
  <si>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</si>
  <si>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</si>
  <si>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</si>
  <si>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</si>
  <si>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</si>
  <si>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</si>
  <si>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</si>
  <si>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</si>
  <si>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</si>
  <si>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</si>
  <si>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</si>
  <si>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</si>
  <si>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</si>
  <si>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</si>
  <si>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</si>
  <si>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</si>
  <si>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</si>
  <si>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</si>
  <si>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</si>
  <si>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</si>
  <si>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</si>
  <si>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</si>
  <si>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</si>
  <si>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</si>
  <si>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</si>
  <si>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</si>
  <si>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</si>
  <si>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</si>
  <si>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</si>
  <si>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</si>
  <si>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</si>
  <si>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</si>
  <si>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</si>
  <si>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</si>
  <si>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</si>
  <si>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</si>
  <si>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</si>
  <si>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</si>
  <si>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</si>
  <si>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</si>
  <si>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</si>
  <si>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</si>
  <si>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</si>
  <si>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</si>
  <si>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</si>
  <si>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</si>
  <si>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</si>
  <si>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</si>
  <si>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</si>
  <si>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</si>
  <si>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</si>
  <si>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</si>
  <si>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</si>
  <si>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</si>
  <si>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</si>
  <si>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</si>
  <si>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</si>
  <si>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</si>
  <si>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</si>
  <si>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</si>
  <si>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</si>
  <si>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</si>
  <si>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</si>
  <si>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</si>
  <si>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</si>
  <si>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</si>
  <si>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</si>
  <si>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</si>
  <si>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</si>
  <si>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</si>
  <si>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</si>
  <si>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</si>
  <si>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</si>
  <si>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</si>
  <si>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</si>
  <si>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</si>
  <si>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</si>
  <si>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</si>
  <si>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</si>
  <si>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</si>
  <si>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</si>
  <si>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</si>
  <si>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</si>
  <si>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</si>
  <si>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</si>
  <si>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</si>
  <si>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</si>
  <si>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</si>
  <si>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</si>
  <si>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</si>
  <si>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</si>
  <si>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</si>
  <si>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</si>
  <si>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</si>
  <si>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</si>
  <si>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</si>
  <si>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</si>
  <si>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</si>
  <si>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</si>
  <si>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</si>
  <si>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</si>
  <si>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</si>
  <si>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</si>
  <si>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</si>
  <si>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</si>
  <si>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</si>
  <si>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</si>
  <si>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</si>
  <si>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</si>
  <si>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</si>
  <si>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</si>
  <si>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</si>
  <si>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</si>
  <si>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</si>
  <si>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</si>
  <si>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</si>
  <si>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</si>
  <si>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</si>
  <si>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</si>
  <si>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</si>
  <si>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</si>
  <si>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</si>
  <si>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</si>
  <si>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</si>
  <si>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</si>
  <si>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</si>
  <si>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</si>
  <si>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</si>
  <si>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</si>
  <si>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</si>
  <si>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</si>
  <si>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</si>
  <si>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</si>
  <si>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</si>
  <si>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</si>
  <si>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</si>
  <si>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</si>
  <si>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</si>
  <si>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</si>
  <si>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</si>
  <si>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</si>
  <si>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</si>
  <si>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</si>
  <si>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</si>
  <si>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</si>
  <si>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</si>
  <si>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</si>
  <si>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</si>
  <si>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</si>
  <si>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</si>
  <si>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</si>
  <si>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</si>
  <si>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</si>
  <si>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</si>
  <si>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</si>
  <si>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</si>
  <si>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</si>
  <si>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</si>
  <si>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</si>
  <si>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</si>
  <si>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</si>
  <si>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</si>
  <si>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</si>
  <si>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</si>
  <si>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</si>
  <si>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</si>
  <si>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</si>
  <si>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</si>
  <si>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</si>
  <si>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</si>
  <si>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</si>
  <si>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</si>
  <si>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</si>
  <si>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</si>
  <si>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</si>
  <si>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</si>
  <si>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</si>
  <si>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</si>
  <si>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</si>
  <si>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</si>
  <si>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</si>
  <si>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</si>
  <si>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</si>
  <si>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</si>
  <si>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</si>
  <si>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</si>
  <si>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</si>
  <si>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</si>
  <si>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</si>
  <si>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</si>
  <si>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</si>
  <si>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</si>
  <si>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</si>
  <si>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</si>
  <si>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</si>
  <si>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</si>
  <si>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</si>
  <si>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</si>
  <si>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</si>
  <si>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</si>
  <si>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</si>
  <si>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</si>
  <si>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</si>
  <si>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</si>
  <si>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</si>
  <si>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</si>
  <si>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</si>
  <si>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</si>
  <si>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</si>
  <si>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</si>
  <si>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</si>
  <si>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</si>
  <si>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</si>
  <si>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</si>
  <si>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</si>
  <si>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</si>
  <si>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</si>
  <si>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</si>
  <si>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</si>
  <si>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</si>
  <si>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</si>
  <si>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</si>
  <si>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</si>
  <si>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</si>
  <si>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</si>
  <si>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</si>
  <si>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</si>
  <si>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</si>
  <si>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</si>
  <si>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</si>
  <si>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</si>
  <si>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</si>
  <si>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</si>
  <si>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</si>
  <si>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</si>
  <si>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</si>
  <si>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</si>
  <si>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</si>
  <si>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</si>
  <si>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</si>
  <si>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</si>
  <si>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</si>
  <si>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</si>
  <si>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</si>
  <si>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</si>
  <si>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</si>
  <si>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</si>
  <si>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</si>
  <si>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</si>
  <si>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</si>
  <si>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</si>
  <si>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</si>
  <si>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</si>
  <si>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</si>
  <si>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</si>
  <si>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</si>
  <si>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</si>
  <si>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</si>
  <si>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</si>
  <si>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</si>
  <si>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</si>
  <si>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</si>
  <si>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</si>
  <si>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</si>
  <si>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</si>
  <si>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</si>
  <si>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</si>
  <si>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</si>
  <si>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</si>
  <si>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</si>
  <si>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</si>
  <si>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</si>
  <si>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</si>
  <si>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</si>
  <si>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</si>
  <si>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</si>
  <si>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</si>
  <si>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</si>
  <si>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</si>
  <si>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</si>
  <si>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</si>
  <si>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</si>
  <si>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</si>
  <si>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</si>
  <si>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</si>
  <si>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</si>
  <si>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</si>
  <si>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</si>
  <si>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</si>
  <si>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</si>
  <si>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</si>
  <si>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</si>
  <si>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</si>
  <si>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</si>
  <si>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</si>
  <si>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</si>
  <si>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</si>
  <si>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</si>
  <si>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</si>
  <si>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</si>
  <si>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</si>
  <si>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</si>
  <si>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</si>
  <si>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</si>
  <si>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</si>
  <si>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</si>
  <si>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</si>
  <si>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</si>
  <si>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</si>
  <si>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</si>
  <si>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</si>
  <si>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</si>
  <si>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</si>
  <si>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</si>
  <si>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</si>
  <si>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</si>
  <si>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</si>
  <si>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</si>
  <si>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</si>
  <si>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</si>
  <si>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</si>
  <si>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</si>
  <si>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</si>
  <si>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</si>
  <si>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</si>
  <si>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</si>
  <si>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</si>
  <si>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</si>
  <si>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</si>
  <si>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</si>
  <si>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</si>
  <si>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</si>
  <si>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</si>
  <si>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</si>
  <si>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</si>
  <si>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</si>
  <si>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</si>
  <si>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</si>
  <si>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</si>
  <si>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</si>
  <si>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</si>
  <si>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</si>
  <si>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</si>
  <si>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</si>
  <si>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</si>
  <si>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</si>
  <si>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</si>
  <si>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</si>
  <si>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</si>
  <si>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</si>
  <si>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</si>
  <si>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</si>
  <si>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</si>
  <si>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</si>
  <si>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</si>
  <si>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</si>
  <si>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</si>
  <si>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</si>
  <si>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</si>
  <si>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</si>
  <si>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</si>
  <si>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</si>
  <si>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</si>
  <si>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</si>
  <si>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</si>
  <si>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</si>
  <si>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</si>
  <si>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</si>
  <si>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</si>
  <si>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</si>
  <si>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</si>
  <si>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</si>
  <si>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</si>
  <si>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</si>
  <si>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</si>
  <si>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</si>
  <si>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</si>
  <si>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</si>
  <si>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</si>
  <si>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</si>
  <si>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</si>
  <si>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</si>
  <si>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</si>
  <si>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</si>
  <si>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</si>
  <si>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</si>
  <si>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</si>
  <si>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</si>
  <si>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</si>
  <si>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</si>
  <si>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</si>
  <si>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</si>
  <si>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</si>
  <si>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</si>
  <si>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</si>
  <si>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</si>
  <si>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</si>
  <si>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</si>
  <si>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</si>
  <si>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</si>
  <si>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</si>
  <si>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</si>
  <si>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</si>
  <si>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</si>
  <si>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</si>
  <si>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</si>
  <si>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</si>
  <si>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</si>
  <si>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</si>
  <si>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</si>
  <si>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</si>
  <si>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</si>
  <si>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</si>
  <si>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</si>
  <si>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</si>
  <si>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</si>
  <si>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</si>
  <si>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</si>
  <si>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</si>
  <si>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</si>
  <si>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</si>
  <si>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</si>
  <si>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</si>
  <si>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</si>
  <si>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</si>
  <si>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</si>
  <si>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</si>
  <si>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</si>
  <si>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</si>
  <si>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</si>
  <si>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</si>
  <si>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</si>
  <si>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</si>
  <si>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</si>
  <si>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</si>
  <si>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</si>
  <si>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</si>
  <si>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</si>
  <si>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</si>
  <si>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</si>
  <si>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</si>
  <si>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</si>
  <si>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</si>
  <si>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</si>
  <si>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</si>
  <si>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</si>
  <si>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</si>
  <si>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</si>
  <si>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</si>
  <si>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</si>
  <si>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</si>
  <si>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</si>
  <si>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</si>
  <si>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</si>
  <si>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</si>
  <si>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</si>
  <si>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</si>
  <si>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</si>
  <si>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</si>
  <si>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</si>
  <si>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</si>
  <si>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</si>
  <si>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</si>
  <si>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</si>
  <si>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</si>
  <si>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</si>
  <si>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</si>
  <si>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</si>
  <si>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</si>
  <si>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</si>
  <si>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</si>
  <si>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</si>
  <si>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</si>
  <si>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</si>
  <si>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</si>
  <si>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</si>
  <si>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</si>
  <si>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</si>
  <si>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</si>
  <si>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</si>
  <si>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</si>
  <si>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</si>
  <si>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</si>
  <si>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</si>
  <si>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</si>
  <si>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</si>
  <si>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</si>
  <si>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</si>
  <si>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</si>
  <si>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</si>
  <si>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</si>
  <si>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</si>
  <si>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</si>
  <si>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</si>
  <si>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</si>
  <si>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</si>
  <si>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</si>
  <si>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</si>
  <si>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</si>
  <si>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</si>
  <si>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</si>
  <si>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</si>
  <si>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</si>
  <si>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</si>
  <si>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</si>
  <si>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</si>
  <si>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</si>
  <si>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</si>
  <si>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</si>
  <si>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</si>
  <si>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</si>
  <si>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</si>
  <si>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</si>
  <si>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</si>
  <si>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</si>
  <si>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</si>
  <si>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</si>
  <si>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</si>
  <si>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</si>
  <si>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</si>
  <si>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</si>
  <si>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</si>
  <si>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</si>
  <si>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</si>
  <si>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</si>
  <si>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</si>
  <si>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</si>
  <si>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</si>
  <si>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</si>
  <si>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</si>
  <si>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</si>
  <si>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</si>
  <si>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</si>
  <si>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</si>
  <si>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</si>
  <si>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</si>
  <si>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</si>
  <si>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</si>
  <si>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</si>
  <si>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</si>
  <si>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</si>
  <si>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</si>
  <si>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</si>
  <si>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</si>
  <si>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</si>
  <si>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</si>
  <si>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</si>
  <si>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</si>
  <si>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</si>
  <si>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</si>
  <si>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</si>
  <si>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</si>
  <si>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</si>
  <si>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</si>
  <si>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</si>
  <si>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</si>
  <si>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</si>
  <si>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</si>
  <si>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</si>
  <si>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</si>
  <si>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</si>
  <si>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</si>
  <si>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</si>
  <si>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</si>
  <si>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</si>
  <si>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</si>
  <si>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</si>
  <si>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</si>
  <si>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</si>
  <si>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</si>
  <si>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</si>
  <si>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</si>
  <si>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</si>
  <si>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</si>
  <si>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</si>
  <si>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</si>
  <si>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</si>
  <si>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</si>
  <si>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</si>
  <si>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</si>
  <si>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</si>
  <si>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</si>
  <si>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</si>
  <si>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</si>
  <si>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</si>
  <si>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</si>
  <si>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</si>
  <si>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</si>
  <si>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</si>
  <si>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</si>
  <si>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</si>
  <si>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</si>
  <si>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</si>
  <si>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</si>
  <si>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</si>
  <si>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</si>
  <si>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</si>
  <si>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</si>
  <si>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</si>
  <si>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</si>
  <si>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</si>
  <si>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</si>
  <si>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</si>
  <si>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</si>
  <si>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</si>
  <si>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</si>
  <si>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</si>
  <si>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</si>
  <si>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</si>
  <si>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</si>
  <si>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</si>
  <si>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</si>
  <si>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</si>
  <si>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</si>
  <si>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</si>
  <si>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</si>
  <si>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</si>
  <si>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</si>
  <si>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</si>
  <si>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</si>
  <si>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</si>
  <si>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YUNABD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</si>
  <si>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</si>
  <si>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</si>
  <si>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</si>
  <si>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</si>
  <si>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</si>
  <si>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</si>
  <si>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199</t>
  </si>
  <si>
    <t>ASTRIA TOPPENISH HOSPITAL</t>
  </si>
  <si>
    <t>502 W 4th Avenue</t>
  </si>
  <si>
    <t>Toppenish, WA 98948</t>
  </si>
  <si>
    <t>Yakima</t>
  </si>
  <si>
    <t>Brian Hargis</t>
  </si>
  <si>
    <t>Maxwell Owens</t>
  </si>
  <si>
    <t>Bertha Ortega</t>
  </si>
  <si>
    <t>509-865-3105</t>
  </si>
  <si>
    <t>509-865-1519</t>
  </si>
  <si>
    <t>ASTRIA TOPPENISH HOSPITAL   H-0     FYE 12/31/2019</t>
  </si>
  <si>
    <t>2017</t>
  </si>
  <si>
    <t>2019</t>
  </si>
  <si>
    <t/>
  </si>
  <si>
    <t>6000</t>
  </si>
  <si>
    <t>6011,6012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</si>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</sst>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00_);\(#,##0.00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2" fillId="0" borderId="0" xfId="2" applyNumberFormat="1" applyFont="1" applyAlignment="1" applyProtection="1">
      <alignment horizontal="left"/>
    </xf>
    <xf numFmtId="38" fontId="3" fillId="3" borderId="0" xfId="0" quotePrefix="1" applyNumberFormat="1" applyFont="1" applyFill="1" applyAlignment="1" applyProtection="1">
      <alignment horizontal="center"/>
    </xf>
    <xf numFmtId="167" fontId="3" fillId="0" borderId="0" xfId="0" applyNumberFormat="1" applyFont="1" applyProtection="1"/>
    <xf numFmtId="167" fontId="3" fillId="0" borderId="0" xfId="0" quotePrefix="1" applyNumberFormat="1" applyFont="1" applyFill="1" applyAlignment="1" applyProtection="1">
      <alignment horizontal="left"/>
    </xf>
    <xf numFmtId="37" fontId="3" fillId="0" borderId="0" xfId="0" applyNumberFormat="1" applyFont="1" applyFill="1" applyProtection="1"/>
    <xf numFmtId="37" fontId="3" fillId="0" borderId="0" xfId="0" applyFont="1" applyBorder="1" applyProtection="1"/>
    <xf numFmtId="37" fontId="9" fillId="4" borderId="0" xfId="0" applyFont="1" applyFill="1" applyBorder="1" applyProtection="1">
      <protection locked="0"/>
    </xf>
    <xf numFmtId="38" fontId="9" fillId="4" borderId="0" xfId="0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20" transitionEvaluation="1" transitionEntry="1" codeName="Sheet1">
    <pageSetUpPr autoPageBreaks="0" fitToPage="1"/>
  </sheetPr>
  <dimension ref="A1:CF817"/>
  <sheetViews>
    <sheetView showGridLines="0" tabSelected="1" topLeftCell="A720" zoomScale="75" zoomScaleNormal="75" workbookViewId="0">
      <selection activeCell="C728" sqref="C72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2" width="11.75" style="180" customWidth="1"/>
    <col min="83" max="16384" width="11.75" style="180"/>
  </cols>
  <sheetData>
    <row r="1" spans="1:6" ht="12.75" customHeight="1" x14ac:dyDescent="0.3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1258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1231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1262</v>
      </c>
      <c r="C16" s="233"/>
      <c r="F16" s="285" t="s">
        <v>1259</v>
      </c>
    </row>
    <row r="17" spans="1:6" ht="12.75" customHeight="1" x14ac:dyDescent="0.35">
      <c r="A17" s="180" t="s">
        <v>1230</v>
      </c>
      <c r="C17" s="285" t="s">
        <v>1259</v>
      </c>
    </row>
    <row r="18" spans="1:6" ht="12.75" customHeight="1" x14ac:dyDescent="0.35">
      <c r="A18" s="288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1234</v>
      </c>
      <c r="B20" s="270"/>
      <c r="C20" s="286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3"/>
    </row>
    <row r="24" spans="1:6" ht="12.65" customHeight="1" x14ac:dyDescent="0.35">
      <c r="A24" s="239" t="s">
        <v>3</v>
      </c>
      <c r="C24" s="233"/>
    </row>
    <row r="25" spans="1:6" ht="12.65" customHeight="1" x14ac:dyDescent="0.35">
      <c r="A25" s="198" t="s">
        <v>1235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1236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1237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1238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f>265952.58</f>
        <v>265952.58</v>
      </c>
      <c r="D47" s="184"/>
      <c r="E47" s="184">
        <f>-30.11+75200.01+51890.95+173115.33</f>
        <v>300176.18</v>
      </c>
      <c r="F47" s="184"/>
      <c r="G47" s="184"/>
      <c r="H47" s="184">
        <f>603181.27</f>
        <v>603181.27</v>
      </c>
      <c r="I47" s="184"/>
      <c r="J47" s="184"/>
      <c r="K47" s="184"/>
      <c r="L47" s="184"/>
      <c r="M47" s="184"/>
      <c r="N47" s="184"/>
      <c r="O47" s="184">
        <f>1347.74+364716.83</f>
        <v>366064.57</v>
      </c>
      <c r="P47" s="184">
        <f>168285.19+6.08</f>
        <v>168291.27</v>
      </c>
      <c r="Q47" s="184">
        <f>61117.13</f>
        <v>61117.13</v>
      </c>
      <c r="R47" s="184"/>
      <c r="S47" s="184"/>
      <c r="T47" s="184"/>
      <c r="U47" s="184">
        <f>239303.24</f>
        <v>239303.24</v>
      </c>
      <c r="V47" s="184"/>
      <c r="W47" s="184">
        <f>820.04</f>
        <v>820.04</v>
      </c>
      <c r="X47" s="184">
        <f>41690.3</f>
        <v>41690.300000000003</v>
      </c>
      <c r="Y47" s="184">
        <f>133410.59+77526.13</f>
        <v>210936.72</v>
      </c>
      <c r="Z47" s="184"/>
      <c r="AA47" s="184"/>
      <c r="AB47" s="184">
        <f>102190.17</f>
        <v>102190.17</v>
      </c>
      <c r="AC47" s="184">
        <f>112871.63</f>
        <v>112871.63</v>
      </c>
      <c r="AD47" s="184"/>
      <c r="AE47" s="184"/>
      <c r="AF47" s="184"/>
      <c r="AG47" s="184">
        <f>554633.23</f>
        <v>554633.23</v>
      </c>
      <c r="AH47" s="184"/>
      <c r="AI47" s="184"/>
      <c r="AJ47" s="184">
        <f>210388.31+719057.6+162412.93</f>
        <v>1091858.8399999999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f>696.28</f>
        <v>696.28</v>
      </c>
      <c r="AZ47" s="184">
        <f>87254.46</f>
        <v>87254.46</v>
      </c>
      <c r="BA47" s="184"/>
      <c r="BB47" s="184"/>
      <c r="BC47" s="184"/>
      <c r="BD47" s="184">
        <f>49695.92</f>
        <v>49695.92</v>
      </c>
      <c r="BE47" s="184">
        <f>48214.72</f>
        <v>48214.720000000001</v>
      </c>
      <c r="BF47" s="184">
        <f>127545.14</f>
        <v>127545.14</v>
      </c>
      <c r="BG47" s="184"/>
      <c r="BH47" s="184">
        <f>145.42+1500.47</f>
        <v>1645.89</v>
      </c>
      <c r="BI47" s="184"/>
      <c r="BJ47" s="184"/>
      <c r="BK47" s="184"/>
      <c r="BL47" s="184">
        <f>147693.29</f>
        <v>147693.29</v>
      </c>
      <c r="BM47" s="184">
        <f>45552.15</f>
        <v>45552.15</v>
      </c>
      <c r="BN47" s="184">
        <f>-2352926.42</f>
        <v>-2352926.42</v>
      </c>
      <c r="BO47" s="184"/>
      <c r="BP47" s="184"/>
      <c r="BQ47" s="184"/>
      <c r="BR47" s="184">
        <f>6418.99</f>
        <v>6418.99</v>
      </c>
      <c r="BS47" s="184"/>
      <c r="BT47" s="184"/>
      <c r="BU47" s="184"/>
      <c r="BV47" s="184">
        <f>87899.89</f>
        <v>87899.89</v>
      </c>
      <c r="BW47" s="184"/>
      <c r="BX47" s="184">
        <f>17272.35+26021.9</f>
        <v>43294.25</v>
      </c>
      <c r="BY47" s="184">
        <f>79813.65</f>
        <v>79813.649999999994</v>
      </c>
      <c r="BZ47" s="184"/>
      <c r="CA47" s="184"/>
      <c r="CB47" s="184"/>
      <c r="CC47" s="184"/>
      <c r="CD47" s="195"/>
      <c r="CE47" s="195">
        <f>SUM(C47:CC47)</f>
        <v>2491885.38</v>
      </c>
    </row>
    <row r="48" spans="1:83" ht="12.65" customHeight="1" x14ac:dyDescent="0.3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f>714844.92</f>
        <v>714844.92</v>
      </c>
      <c r="C52" s="195">
        <f>ROUND((B52/(CE76+CF76)*C76),0)</f>
        <v>30509</v>
      </c>
      <c r="D52" s="195">
        <f>ROUND((B52/(CE76+CF76)*D76),0)</f>
        <v>0</v>
      </c>
      <c r="E52" s="195">
        <f>ROUND((B52/(CE76+CF76)*E76),0)</f>
        <v>95014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39376</v>
      </c>
      <c r="I52" s="195">
        <f>ROUND((B52/(CE76+CF76)*I76),0)</f>
        <v>0</v>
      </c>
      <c r="J52" s="195">
        <f>ROUND((B52/(CE76+CF76)*J76),0)</f>
        <v>7119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90153</v>
      </c>
      <c r="P52" s="195">
        <f>ROUND((B52/(CE76+CF76)*P76),0)</f>
        <v>24915</v>
      </c>
      <c r="Q52" s="195">
        <f>ROUND((B52/(CE76+CF76)*Q76),0)</f>
        <v>39712</v>
      </c>
      <c r="R52" s="195">
        <f>ROUND((B52/(CE76+CF76)*R76),0)</f>
        <v>1627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27875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41471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10800</v>
      </c>
      <c r="AC52" s="195">
        <f>ROUND((B52/(CE76+CF76)*AC76),0)</f>
        <v>8563</v>
      </c>
      <c r="AD52" s="195">
        <f>ROUND((B52/(CE76+CF76)*AD76),0)</f>
        <v>0</v>
      </c>
      <c r="AE52" s="195">
        <f>ROUND((B52/(CE76+CF76)*AE76),0)</f>
        <v>5593</v>
      </c>
      <c r="AF52" s="195">
        <f>ROUND((B52/(CE76+CF76)*AF76),0)</f>
        <v>0</v>
      </c>
      <c r="AG52" s="195">
        <f>ROUND((B52/(CE76+CF76)*AG76),0)</f>
        <v>47044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16912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21641</v>
      </c>
      <c r="BE52" s="195">
        <f>ROUND((B52/(CE76+CF76)*BE76),0)</f>
        <v>31597</v>
      </c>
      <c r="BF52" s="195">
        <f>ROUND((B52/(CE76+CF76)*BF76),0)</f>
        <v>8115</v>
      </c>
      <c r="BG52" s="195">
        <f>ROUND((B52/(CE76+CF76)*BG76),0)</f>
        <v>0</v>
      </c>
      <c r="BH52" s="195">
        <f>ROUND((B52/(CE76+CF76)*BH76),0)</f>
        <v>2847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25424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22302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4149</v>
      </c>
      <c r="BS52" s="195">
        <f>ROUND((B52/(CE76+CF76)*BS76),0)</f>
        <v>3051</v>
      </c>
      <c r="BT52" s="195">
        <f>ROUND((B52/(CE76+CF76)*BT76),0)</f>
        <v>3864</v>
      </c>
      <c r="BU52" s="195">
        <f>ROUND((B52/(CE76+CF76)*BU76),0)</f>
        <v>0</v>
      </c>
      <c r="BV52" s="195">
        <f>ROUND((B52/(CE76+CF76)*BV76),0)</f>
        <v>13831</v>
      </c>
      <c r="BW52" s="195">
        <f>ROUND((B52/(CE76+CF76)*BW76),0)</f>
        <v>0</v>
      </c>
      <c r="BX52" s="195">
        <f>ROUND((B52/(CE76+CF76)*BX76),0)</f>
        <v>3295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88048</v>
      </c>
      <c r="CD52" s="195"/>
      <c r="CE52" s="195">
        <f>SUM(C52:CD52)</f>
        <v>714847</v>
      </c>
    </row>
    <row r="53" spans="1:84" ht="12.65" customHeight="1" x14ac:dyDescent="0.35">
      <c r="A53" s="175" t="s">
        <v>206</v>
      </c>
      <c r="B53" s="195">
        <f>B51+B52</f>
        <v>714844.92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289" t="s">
        <v>1282</v>
      </c>
      <c r="D55" s="170" t="s">
        <v>11</v>
      </c>
      <c r="E55" s="243" t="s">
        <v>1283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>
        <f>220</f>
        <v>220</v>
      </c>
      <c r="D59" s="184"/>
      <c r="E59" s="184">
        <f>2954</f>
        <v>2954</v>
      </c>
      <c r="F59" s="184"/>
      <c r="G59" s="184"/>
      <c r="H59" s="184">
        <f>3571</f>
        <v>3571</v>
      </c>
      <c r="I59" s="184"/>
      <c r="J59" s="184">
        <f>980</f>
        <v>980</v>
      </c>
      <c r="K59" s="184"/>
      <c r="L59" s="184"/>
      <c r="M59" s="184"/>
      <c r="N59" s="184"/>
      <c r="O59" s="184">
        <f>739</f>
        <v>739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29347</v>
      </c>
      <c r="AZ59" s="185"/>
      <c r="BA59" s="247"/>
      <c r="BB59" s="247"/>
      <c r="BC59" s="247"/>
      <c r="BD59" s="247"/>
      <c r="BE59" s="185">
        <v>70293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  <c r="CF59" s="231"/>
    </row>
    <row r="60" spans="1:84" ht="12.65" customHeight="1" x14ac:dyDescent="0.35">
      <c r="A60" s="249" t="s">
        <v>234</v>
      </c>
      <c r="B60" s="175"/>
      <c r="C60" s="186">
        <f>11.33</f>
        <v>11.33</v>
      </c>
      <c r="D60" s="187"/>
      <c r="E60" s="187">
        <f>3.98+10.55+1.98</f>
        <v>16.510000000000002</v>
      </c>
      <c r="F60" s="223"/>
      <c r="G60" s="187"/>
      <c r="H60" s="187">
        <f>32.97</f>
        <v>32.97</v>
      </c>
      <c r="I60" s="187"/>
      <c r="J60" s="223"/>
      <c r="K60" s="187"/>
      <c r="L60" s="187"/>
      <c r="M60" s="187"/>
      <c r="N60" s="187"/>
      <c r="O60" s="187">
        <f>0.89+13.89</f>
        <v>14.780000000000001</v>
      </c>
      <c r="P60" s="221">
        <f>8.17+7.62</f>
        <v>15.79</v>
      </c>
      <c r="Q60" s="221">
        <f>2.02</f>
        <v>2.02</v>
      </c>
      <c r="R60" s="221"/>
      <c r="S60" s="221"/>
      <c r="T60" s="221"/>
      <c r="U60" s="221">
        <f>11.72</f>
        <v>11.72</v>
      </c>
      <c r="V60" s="221"/>
      <c r="W60" s="221">
        <f>0.27</f>
        <v>0.27</v>
      </c>
      <c r="X60" s="221">
        <f>0.94</f>
        <v>0.94</v>
      </c>
      <c r="Y60" s="221">
        <f>7.09+2.66</f>
        <v>9.75</v>
      </c>
      <c r="Z60" s="221"/>
      <c r="AA60" s="221"/>
      <c r="AB60" s="221">
        <f>3.85</f>
        <v>3.85</v>
      </c>
      <c r="AC60" s="221">
        <f>5.07</f>
        <v>5.07</v>
      </c>
      <c r="AD60" s="221"/>
      <c r="AE60" s="221"/>
      <c r="AF60" s="221"/>
      <c r="AG60" s="221">
        <f>24.86</f>
        <v>24.86</v>
      </c>
      <c r="AH60" s="221"/>
      <c r="AI60" s="221"/>
      <c r="AJ60" s="221">
        <f>8.33+22.47+5.37+3.29</f>
        <v>39.459999999999994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f>0.7</f>
        <v>0.7</v>
      </c>
      <c r="AZ60" s="221">
        <f>7.04</f>
        <v>7.04</v>
      </c>
      <c r="BA60" s="221"/>
      <c r="BB60" s="221"/>
      <c r="BC60" s="221"/>
      <c r="BD60" s="221">
        <v>3.56</v>
      </c>
      <c r="BE60" s="221">
        <f>2.18</f>
        <v>2.1800000000000002</v>
      </c>
      <c r="BF60" s="221">
        <f>7.29</f>
        <v>7.29</v>
      </c>
      <c r="BG60" s="221"/>
      <c r="BH60" s="221">
        <v>0.23</v>
      </c>
      <c r="BI60" s="221"/>
      <c r="BJ60" s="221"/>
      <c r="BK60" s="221"/>
      <c r="BL60" s="221">
        <f>11.15</f>
        <v>11.15</v>
      </c>
      <c r="BM60" s="221">
        <f>1.05</f>
        <v>1.05</v>
      </c>
      <c r="BN60" s="221">
        <f>1.16</f>
        <v>1.1599999999999999</v>
      </c>
      <c r="BO60" s="221"/>
      <c r="BP60" s="221"/>
      <c r="BQ60" s="221"/>
      <c r="BR60" s="221">
        <f>0.73</f>
        <v>0.73</v>
      </c>
      <c r="BS60" s="221"/>
      <c r="BT60" s="221"/>
      <c r="BU60" s="221"/>
      <c r="BV60" s="221">
        <f>4.98</f>
        <v>4.9800000000000004</v>
      </c>
      <c r="BW60" s="221"/>
      <c r="BX60" s="221">
        <f>1.13+1.13</f>
        <v>2.2599999999999998</v>
      </c>
      <c r="BY60" s="221">
        <f>3.24</f>
        <v>3.24</v>
      </c>
      <c r="BZ60" s="221"/>
      <c r="CA60" s="221"/>
      <c r="CB60" s="221"/>
      <c r="CC60" s="221"/>
      <c r="CD60" s="248" t="s">
        <v>221</v>
      </c>
      <c r="CE60" s="250">
        <f t="shared" ref="CE60:CE70" si="0">SUM(C60:CD60)</f>
        <v>234.8899999999999</v>
      </c>
      <c r="CF60" s="231"/>
    </row>
    <row r="61" spans="1:84" ht="12.65" customHeight="1" x14ac:dyDescent="0.35">
      <c r="A61" s="171" t="s">
        <v>235</v>
      </c>
      <c r="B61" s="175"/>
      <c r="C61" s="184">
        <f>854951.45</f>
        <v>854951.45</v>
      </c>
      <c r="D61" s="184"/>
      <c r="E61" s="184">
        <f>-106.74+344380.65+633391.14</f>
        <v>977665.05</v>
      </c>
      <c r="F61" s="185"/>
      <c r="G61" s="184"/>
      <c r="H61" s="184">
        <f>1720066.2</f>
        <v>1720066.2</v>
      </c>
      <c r="I61" s="185"/>
      <c r="J61" s="185"/>
      <c r="K61" s="185"/>
      <c r="L61" s="185"/>
      <c r="M61" s="184"/>
      <c r="N61" s="184"/>
      <c r="O61" s="184">
        <f>1585.53+1406001.81</f>
        <v>1407587.34</v>
      </c>
      <c r="P61" s="185">
        <f>504280.98</f>
        <v>504280.98</v>
      </c>
      <c r="Q61" s="185">
        <f>189666.56</f>
        <v>189666.56</v>
      </c>
      <c r="R61" s="185"/>
      <c r="S61" s="185"/>
      <c r="T61" s="185"/>
      <c r="U61" s="185">
        <f>628360.64</f>
        <v>628360.64</v>
      </c>
      <c r="V61" s="185"/>
      <c r="W61" s="185">
        <f>2701.58</f>
        <v>2701.58</v>
      </c>
      <c r="X61" s="185">
        <f>58233.46</f>
        <v>58233.46</v>
      </c>
      <c r="Y61" s="185">
        <f>504850.97+227708.76</f>
        <v>732559.73</v>
      </c>
      <c r="Z61" s="185"/>
      <c r="AA61" s="185"/>
      <c r="AB61" s="185">
        <f>324477.51</f>
        <v>324477.51</v>
      </c>
      <c r="AC61" s="185">
        <f>333311.51</f>
        <v>333311.51</v>
      </c>
      <c r="AD61" s="185"/>
      <c r="AE61" s="185"/>
      <c r="AF61" s="185"/>
      <c r="AG61" s="185">
        <f>1711350.88</f>
        <v>1711350.88</v>
      </c>
      <c r="AH61" s="185"/>
      <c r="AI61" s="185"/>
      <c r="AJ61" s="185">
        <f>880338.04+2415304.12+831175.4</f>
        <v>4126817.56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5936.24</f>
        <v>5936.24</v>
      </c>
      <c r="AZ61" s="185">
        <f>233250.48</f>
        <v>233250.48</v>
      </c>
      <c r="BA61" s="185"/>
      <c r="BB61" s="185"/>
      <c r="BC61" s="185"/>
      <c r="BD61" s="185">
        <f>134049.06</f>
        <v>134049.06</v>
      </c>
      <c r="BE61" s="185">
        <f>107877.99</f>
        <v>107877.99</v>
      </c>
      <c r="BF61" s="185">
        <f>230725.08</f>
        <v>230725.08</v>
      </c>
      <c r="BG61" s="185"/>
      <c r="BH61" s="185">
        <f>15901.75</f>
        <v>15901.75</v>
      </c>
      <c r="BI61" s="185"/>
      <c r="BJ61" s="185"/>
      <c r="BK61" s="185"/>
      <c r="BL61" s="185">
        <f>398521.96</f>
        <v>398521.96</v>
      </c>
      <c r="BM61" s="185">
        <f>52985.16</f>
        <v>52985.16</v>
      </c>
      <c r="BN61" s="185">
        <f>59044.67</f>
        <v>59044.67</v>
      </c>
      <c r="BO61" s="185"/>
      <c r="BP61" s="185"/>
      <c r="BQ61" s="185"/>
      <c r="BR61" s="185">
        <f>23224.28</f>
        <v>23224.28</v>
      </c>
      <c r="BS61" s="185"/>
      <c r="BT61" s="185"/>
      <c r="BU61" s="185"/>
      <c r="BV61" s="185">
        <f>253532.68</f>
        <v>253532.68</v>
      </c>
      <c r="BW61" s="185"/>
      <c r="BX61" s="185">
        <f>86978.71+99563.32</f>
        <v>186542.03000000003</v>
      </c>
      <c r="BY61" s="185">
        <f>287289.52</f>
        <v>287289.52</v>
      </c>
      <c r="BZ61" s="185"/>
      <c r="CA61" s="185"/>
      <c r="CB61" s="185"/>
      <c r="CC61" s="185"/>
      <c r="CD61" s="248" t="s">
        <v>221</v>
      </c>
      <c r="CE61" s="195">
        <f t="shared" si="0"/>
        <v>15560911.349999998</v>
      </c>
      <c r="CF61" s="29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265953</v>
      </c>
      <c r="D62" s="195">
        <f t="shared" si="1"/>
        <v>0</v>
      </c>
      <c r="E62" s="195">
        <f t="shared" si="1"/>
        <v>300176</v>
      </c>
      <c r="F62" s="195">
        <f t="shared" si="1"/>
        <v>0</v>
      </c>
      <c r="G62" s="195">
        <f t="shared" si="1"/>
        <v>0</v>
      </c>
      <c r="H62" s="195">
        <f t="shared" si="1"/>
        <v>603181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366065</v>
      </c>
      <c r="P62" s="195">
        <f t="shared" si="1"/>
        <v>168291</v>
      </c>
      <c r="Q62" s="195">
        <f t="shared" si="1"/>
        <v>61117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239303</v>
      </c>
      <c r="V62" s="195">
        <f t="shared" si="1"/>
        <v>0</v>
      </c>
      <c r="W62" s="195">
        <f t="shared" si="1"/>
        <v>820</v>
      </c>
      <c r="X62" s="195">
        <f t="shared" si="1"/>
        <v>41690</v>
      </c>
      <c r="Y62" s="195">
        <f t="shared" si="1"/>
        <v>210937</v>
      </c>
      <c r="Z62" s="195">
        <f t="shared" si="1"/>
        <v>0</v>
      </c>
      <c r="AA62" s="195">
        <f t="shared" si="1"/>
        <v>0</v>
      </c>
      <c r="AB62" s="195">
        <f t="shared" si="1"/>
        <v>102190</v>
      </c>
      <c r="AC62" s="195">
        <f t="shared" si="1"/>
        <v>112872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554633</v>
      </c>
      <c r="AH62" s="195">
        <f t="shared" si="1"/>
        <v>0</v>
      </c>
      <c r="AI62" s="195">
        <f t="shared" si="1"/>
        <v>0</v>
      </c>
      <c r="AJ62" s="195">
        <f t="shared" si="1"/>
        <v>1091859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696</v>
      </c>
      <c r="AZ62" s="195">
        <f>ROUND(AZ47+AZ48,0)</f>
        <v>87254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49696</v>
      </c>
      <c r="BE62" s="195">
        <f t="shared" si="1"/>
        <v>48215</v>
      </c>
      <c r="BF62" s="195">
        <f t="shared" si="1"/>
        <v>127545</v>
      </c>
      <c r="BG62" s="195">
        <f t="shared" si="1"/>
        <v>0</v>
      </c>
      <c r="BH62" s="195">
        <f t="shared" si="1"/>
        <v>1646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147693</v>
      </c>
      <c r="BM62" s="195">
        <f t="shared" si="1"/>
        <v>45552</v>
      </c>
      <c r="BN62" s="195">
        <f t="shared" si="1"/>
        <v>-2352926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6419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87900</v>
      </c>
      <c r="BW62" s="195">
        <f t="shared" si="2"/>
        <v>0</v>
      </c>
      <c r="BX62" s="195">
        <f t="shared" si="2"/>
        <v>43294</v>
      </c>
      <c r="BY62" s="195">
        <f t="shared" si="2"/>
        <v>79814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2491885</v>
      </c>
      <c r="CF62" s="292"/>
    </row>
    <row r="63" spans="1:84" ht="12.65" customHeight="1" x14ac:dyDescent="0.35">
      <c r="A63" s="171" t="s">
        <v>236</v>
      </c>
      <c r="B63" s="175"/>
      <c r="C63" s="184">
        <f>17725</f>
        <v>17725</v>
      </c>
      <c r="D63" s="184"/>
      <c r="E63" s="184">
        <f>-5000+746386.17</f>
        <v>741386.17</v>
      </c>
      <c r="F63" s="185"/>
      <c r="G63" s="184"/>
      <c r="H63" s="184">
        <f>676597.54</f>
        <v>676597.54</v>
      </c>
      <c r="I63" s="185"/>
      <c r="J63" s="185"/>
      <c r="K63" s="185"/>
      <c r="L63" s="185"/>
      <c r="M63" s="184"/>
      <c r="N63" s="184"/>
      <c r="O63" s="184">
        <f>161595.05</f>
        <v>161595.04999999999</v>
      </c>
      <c r="P63" s="185"/>
      <c r="Q63" s="185"/>
      <c r="R63" s="185">
        <f>16044.88</f>
        <v>16044.88</v>
      </c>
      <c r="S63" s="185"/>
      <c r="T63" s="185"/>
      <c r="U63" s="185">
        <f>79238.5</f>
        <v>79238.5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>
        <f>4657.68</f>
        <v>4657.68</v>
      </c>
      <c r="AF63" s="185"/>
      <c r="AG63" s="185">
        <f>1232686.11</f>
        <v>1232686.1100000001</v>
      </c>
      <c r="AH63" s="185"/>
      <c r="AI63" s="185"/>
      <c r="AJ63" s="185">
        <f>180+1485</f>
        <v>1665</v>
      </c>
      <c r="AK63" s="185"/>
      <c r="AL63" s="185">
        <f>10624.04</f>
        <v>10624.04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f>3500</f>
        <v>3500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2945719.9699999997</v>
      </c>
      <c r="CF63" s="292"/>
    </row>
    <row r="64" spans="1:84" ht="12.65" customHeight="1" x14ac:dyDescent="0.35">
      <c r="A64" s="171" t="s">
        <v>237</v>
      </c>
      <c r="B64" s="175"/>
      <c r="C64" s="184">
        <f>134584.14</f>
        <v>134584.14000000001</v>
      </c>
      <c r="D64" s="184"/>
      <c r="E64" s="185">
        <f>17135.18+89.55+20018.75+8925.52</f>
        <v>46169</v>
      </c>
      <c r="F64" s="185"/>
      <c r="G64" s="184"/>
      <c r="H64" s="184">
        <f>13529.57-85.02</f>
        <v>13444.55</v>
      </c>
      <c r="I64" s="185"/>
      <c r="J64" s="185">
        <f>-20.53</f>
        <v>-20.53</v>
      </c>
      <c r="K64" s="185"/>
      <c r="L64" s="185"/>
      <c r="M64" s="184"/>
      <c r="N64" s="184"/>
      <c r="O64" s="184">
        <f>88404.19+15058.64</f>
        <v>103462.83</v>
      </c>
      <c r="P64" s="185">
        <f>405546.96+52.48</f>
        <v>405599.44</v>
      </c>
      <c r="Q64" s="185">
        <f>24979.78</f>
        <v>24979.78</v>
      </c>
      <c r="R64" s="185">
        <f>1810.96+14752.94</f>
        <v>16563.900000000001</v>
      </c>
      <c r="S64" s="185">
        <f>174166.29</f>
        <v>174166.29</v>
      </c>
      <c r="T64" s="185"/>
      <c r="U64" s="185">
        <f>552295.25+69970.11</f>
        <v>622265.36</v>
      </c>
      <c r="V64" s="185"/>
      <c r="W64" s="185"/>
      <c r="X64" s="185">
        <f>29938.58</f>
        <v>29938.58</v>
      </c>
      <c r="Y64" s="185">
        <f>8745.66+1923.48</f>
        <v>10669.14</v>
      </c>
      <c r="Z64" s="185"/>
      <c r="AA64" s="185"/>
      <c r="AB64" s="185">
        <f>326261.86+4751.28</f>
        <v>331013.14</v>
      </c>
      <c r="AC64" s="185">
        <f>12989.53</f>
        <v>12989.53</v>
      </c>
      <c r="AD64" s="185"/>
      <c r="AE64" s="185">
        <f>204.61</f>
        <v>204.61</v>
      </c>
      <c r="AF64" s="185"/>
      <c r="AG64" s="185">
        <f>203986.39</f>
        <v>203986.39</v>
      </c>
      <c r="AH64" s="185"/>
      <c r="AI64" s="185"/>
      <c r="AJ64" s="185">
        <f>15372.42+152429.65+15.99</f>
        <v>167818.06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203790.99</f>
        <v>203790.99</v>
      </c>
      <c r="AZ64" s="185">
        <f>30384.25</f>
        <v>30384.25</v>
      </c>
      <c r="BA64" s="185"/>
      <c r="BB64" s="185"/>
      <c r="BC64" s="185"/>
      <c r="BD64" s="185">
        <f>44521.51</f>
        <v>44521.51</v>
      </c>
      <c r="BE64" s="185">
        <f>2674.57</f>
        <v>2674.57</v>
      </c>
      <c r="BF64" s="185">
        <f>87664.77</f>
        <v>87664.77</v>
      </c>
      <c r="BG64" s="185"/>
      <c r="BH64" s="185">
        <f>5324.6</f>
        <v>5324.6</v>
      </c>
      <c r="BI64" s="185"/>
      <c r="BJ64" s="185"/>
      <c r="BK64" s="185">
        <f>82.21</f>
        <v>82.21</v>
      </c>
      <c r="BL64" s="185">
        <f>9285.4</f>
        <v>9285.4</v>
      </c>
      <c r="BM64" s="185"/>
      <c r="BN64" s="185">
        <f>-66612.14</f>
        <v>-66612.14</v>
      </c>
      <c r="BO64" s="185"/>
      <c r="BP64" s="185"/>
      <c r="BQ64" s="185"/>
      <c r="BR64" s="185">
        <f>3351.88</f>
        <v>3351.88</v>
      </c>
      <c r="BS64" s="185"/>
      <c r="BT64" s="185"/>
      <c r="BU64" s="185"/>
      <c r="BV64" s="185">
        <f>2071.34</f>
        <v>2071.34</v>
      </c>
      <c r="BW64" s="185"/>
      <c r="BX64" s="185">
        <f>915.52+66944.48</f>
        <v>67860</v>
      </c>
      <c r="BY64" s="185">
        <f>483.56</f>
        <v>483.56</v>
      </c>
      <c r="BZ64" s="185"/>
      <c r="CA64" s="185">
        <f>461.61</f>
        <v>461.61</v>
      </c>
      <c r="CB64" s="185"/>
      <c r="CC64" s="185">
        <f>93433.74</f>
        <v>93433.74</v>
      </c>
      <c r="CD64" s="248" t="s">
        <v>221</v>
      </c>
      <c r="CE64" s="195">
        <f t="shared" si="0"/>
        <v>2782612.4999999995</v>
      </c>
      <c r="CF64" s="29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f>20593.18+35004.18+75</f>
        <v>55672.36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398119.88</f>
        <v>398119.88</v>
      </c>
      <c r="BF65" s="185"/>
      <c r="BG65" s="185"/>
      <c r="BH65" s="185">
        <f>9585.41</f>
        <v>9585.41</v>
      </c>
      <c r="BI65" s="185"/>
      <c r="BJ65" s="185"/>
      <c r="BK65" s="185"/>
      <c r="BL65" s="185"/>
      <c r="BM65" s="185"/>
      <c r="BN65" s="185">
        <f>-24753.3</f>
        <v>-24753.3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f>1467.42</f>
        <v>1467.42</v>
      </c>
      <c r="BZ65" s="185"/>
      <c r="CA65" s="185"/>
      <c r="CB65" s="185"/>
      <c r="CC65" s="185"/>
      <c r="CD65" s="248" t="s">
        <v>221</v>
      </c>
      <c r="CE65" s="195">
        <f t="shared" si="0"/>
        <v>440091.76999999996</v>
      </c>
      <c r="CF65" s="292"/>
    </row>
    <row r="66" spans="1:84" ht="12.65" customHeight="1" x14ac:dyDescent="0.35">
      <c r="A66" s="171" t="s">
        <v>239</v>
      </c>
      <c r="B66" s="175"/>
      <c r="C66" s="184">
        <f>420901.9+141.45</f>
        <v>421043.35000000003</v>
      </c>
      <c r="D66" s="184"/>
      <c r="E66" s="184">
        <f>1355.03+66.56+5713.5+2261.25-128568.11+30.16+66098.31</f>
        <v>-53043.3</v>
      </c>
      <c r="F66" s="184"/>
      <c r="G66" s="184"/>
      <c r="H66" s="184">
        <f>741829.54+524205.9</f>
        <v>1266035.44</v>
      </c>
      <c r="I66" s="184"/>
      <c r="J66" s="184"/>
      <c r="K66" s="185"/>
      <c r="L66" s="185"/>
      <c r="M66" s="184"/>
      <c r="N66" s="184"/>
      <c r="O66" s="185">
        <f>8325+307593.01+30.16</f>
        <v>315948.17</v>
      </c>
      <c r="P66" s="185">
        <f>245668.13+9835.39</f>
        <v>255503.52000000002</v>
      </c>
      <c r="Q66" s="185">
        <f>-881.26</f>
        <v>-881.26</v>
      </c>
      <c r="R66" s="185">
        <f>1693.76+1696.81+229299.04</f>
        <v>232689.61000000002</v>
      </c>
      <c r="S66" s="184"/>
      <c r="T66" s="184"/>
      <c r="U66" s="185">
        <f>37795.81</f>
        <v>37795.81</v>
      </c>
      <c r="V66" s="185"/>
      <c r="W66" s="185">
        <f>120002</f>
        <v>120002</v>
      </c>
      <c r="X66" s="185"/>
      <c r="Y66" s="185">
        <f>128265.58+1872.03</f>
        <v>130137.61</v>
      </c>
      <c r="Z66" s="185"/>
      <c r="AA66" s="185">
        <f>20633.84</f>
        <v>20633.84</v>
      </c>
      <c r="AB66" s="185">
        <f>18214.59</f>
        <v>18214.59</v>
      </c>
      <c r="AC66" s="185">
        <f>63293.87</f>
        <v>63293.87</v>
      </c>
      <c r="AD66" s="185"/>
      <c r="AE66" s="185">
        <f>1922.16</f>
        <v>1922.16</v>
      </c>
      <c r="AF66" s="185"/>
      <c r="AG66" s="185">
        <f>154465.06-9302.14</f>
        <v>145162.91999999998</v>
      </c>
      <c r="AH66" s="185"/>
      <c r="AI66" s="185"/>
      <c r="AJ66" s="185">
        <f>17045.22+83681.63+10036.86+277844</f>
        <v>388607.71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f>5339.98</f>
        <v>5339.98</v>
      </c>
      <c r="AZ66" s="185">
        <f>180216.86+22.7</f>
        <v>180239.56</v>
      </c>
      <c r="BA66" s="185">
        <f>46.34</f>
        <v>46.34</v>
      </c>
      <c r="BB66" s="185"/>
      <c r="BC66" s="185"/>
      <c r="BD66" s="185">
        <f>7363.96</f>
        <v>7363.96</v>
      </c>
      <c r="BE66" s="185">
        <f>44662.27+180907.35</f>
        <v>225569.62</v>
      </c>
      <c r="BF66" s="185"/>
      <c r="BG66" s="185">
        <f>8928.93</f>
        <v>8928.93</v>
      </c>
      <c r="BH66" s="185">
        <f>1362.49</f>
        <v>1362.49</v>
      </c>
      <c r="BI66" s="185"/>
      <c r="BJ66" s="185"/>
      <c r="BK66" s="185">
        <f>15225.86</f>
        <v>15225.86</v>
      </c>
      <c r="BL66" s="185"/>
      <c r="BM66" s="185">
        <f>10317+1595</f>
        <v>11912</v>
      </c>
      <c r="BN66" s="185">
        <f>116190.55+4211398.11</f>
        <v>4327588.66</v>
      </c>
      <c r="BO66" s="185"/>
      <c r="BP66" s="185"/>
      <c r="BQ66" s="185"/>
      <c r="BR66" s="185">
        <f>-1699.18</f>
        <v>-1699.18</v>
      </c>
      <c r="BS66" s="185"/>
      <c r="BT66" s="185"/>
      <c r="BU66" s="185"/>
      <c r="BV66" s="185">
        <f>6725.47</f>
        <v>6725.47</v>
      </c>
      <c r="BW66" s="185"/>
      <c r="BX66" s="185">
        <f>3359.12+16665.95</f>
        <v>20025.07</v>
      </c>
      <c r="BY66" s="185">
        <f>14977+16372.44</f>
        <v>31349.440000000002</v>
      </c>
      <c r="BZ66" s="185"/>
      <c r="CA66" s="185">
        <f>510-6600</f>
        <v>-6090</v>
      </c>
      <c r="CB66" s="185"/>
      <c r="CC66" s="185">
        <f>24100+2782.16</f>
        <v>26882.16</v>
      </c>
      <c r="CD66" s="248" t="s">
        <v>221</v>
      </c>
      <c r="CE66" s="195">
        <f t="shared" si="0"/>
        <v>8223836.4000000004</v>
      </c>
      <c r="CF66" s="292"/>
    </row>
    <row r="67" spans="1:84" ht="12.65" customHeight="1" x14ac:dyDescent="0.35">
      <c r="A67" s="171" t="s">
        <v>6</v>
      </c>
      <c r="B67" s="175"/>
      <c r="C67" s="195">
        <f>ROUND(C51+C52,0)</f>
        <v>30509</v>
      </c>
      <c r="D67" s="195">
        <f>ROUND(D51+D52,0)</f>
        <v>0</v>
      </c>
      <c r="E67" s="195">
        <f t="shared" ref="E67:BP67" si="3">ROUND(E51+E52,0)</f>
        <v>95014</v>
      </c>
      <c r="F67" s="195">
        <f t="shared" si="3"/>
        <v>0</v>
      </c>
      <c r="G67" s="195">
        <f t="shared" si="3"/>
        <v>0</v>
      </c>
      <c r="H67" s="195">
        <f t="shared" si="3"/>
        <v>39376</v>
      </c>
      <c r="I67" s="195">
        <f t="shared" si="3"/>
        <v>0</v>
      </c>
      <c r="J67" s="195">
        <f>ROUND(J51+J52,0)</f>
        <v>7119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90153</v>
      </c>
      <c r="P67" s="195">
        <f t="shared" si="3"/>
        <v>24915</v>
      </c>
      <c r="Q67" s="195">
        <f t="shared" si="3"/>
        <v>39712</v>
      </c>
      <c r="R67" s="195">
        <f t="shared" si="3"/>
        <v>1627</v>
      </c>
      <c r="S67" s="195">
        <f t="shared" si="3"/>
        <v>0</v>
      </c>
      <c r="T67" s="195">
        <f t="shared" si="3"/>
        <v>0</v>
      </c>
      <c r="U67" s="195">
        <f t="shared" si="3"/>
        <v>27875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41471</v>
      </c>
      <c r="Z67" s="195">
        <f t="shared" si="3"/>
        <v>0</v>
      </c>
      <c r="AA67" s="195">
        <f t="shared" si="3"/>
        <v>0</v>
      </c>
      <c r="AB67" s="195">
        <f t="shared" si="3"/>
        <v>10800</v>
      </c>
      <c r="AC67" s="195">
        <f t="shared" si="3"/>
        <v>8563</v>
      </c>
      <c r="AD67" s="195">
        <f t="shared" si="3"/>
        <v>0</v>
      </c>
      <c r="AE67" s="195">
        <f t="shared" si="3"/>
        <v>5593</v>
      </c>
      <c r="AF67" s="195">
        <f t="shared" si="3"/>
        <v>0</v>
      </c>
      <c r="AG67" s="195">
        <f t="shared" si="3"/>
        <v>47044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16912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21641</v>
      </c>
      <c r="BE67" s="195">
        <f t="shared" si="3"/>
        <v>31597</v>
      </c>
      <c r="BF67" s="195">
        <f t="shared" si="3"/>
        <v>8115</v>
      </c>
      <c r="BG67" s="195">
        <f t="shared" si="3"/>
        <v>0</v>
      </c>
      <c r="BH67" s="195">
        <f t="shared" si="3"/>
        <v>2847</v>
      </c>
      <c r="BI67" s="195">
        <f t="shared" si="3"/>
        <v>0</v>
      </c>
      <c r="BJ67" s="195">
        <f t="shared" si="3"/>
        <v>0</v>
      </c>
      <c r="BK67" s="195">
        <f t="shared" si="3"/>
        <v>25424</v>
      </c>
      <c r="BL67" s="195">
        <f t="shared" si="3"/>
        <v>0</v>
      </c>
      <c r="BM67" s="195">
        <f t="shared" si="3"/>
        <v>0</v>
      </c>
      <c r="BN67" s="195">
        <f t="shared" si="3"/>
        <v>22302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4149</v>
      </c>
      <c r="BS67" s="195">
        <f t="shared" si="4"/>
        <v>3051</v>
      </c>
      <c r="BT67" s="195">
        <f t="shared" si="4"/>
        <v>3864</v>
      </c>
      <c r="BU67" s="195">
        <f t="shared" si="4"/>
        <v>0</v>
      </c>
      <c r="BV67" s="195">
        <f t="shared" si="4"/>
        <v>13831</v>
      </c>
      <c r="BW67" s="195">
        <f t="shared" si="4"/>
        <v>0</v>
      </c>
      <c r="BX67" s="195">
        <f t="shared" si="4"/>
        <v>3295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88048</v>
      </c>
      <c r="CD67" s="248" t="s">
        <v>221</v>
      </c>
      <c r="CE67" s="195">
        <f t="shared" si="0"/>
        <v>714847</v>
      </c>
      <c r="CF67" s="292"/>
    </row>
    <row r="68" spans="1:84" ht="12.65" customHeight="1" x14ac:dyDescent="0.35">
      <c r="A68" s="171" t="s">
        <v>240</v>
      </c>
      <c r="B68" s="175"/>
      <c r="C68" s="184">
        <f>-6526.58</f>
        <v>-6526.58</v>
      </c>
      <c r="D68" s="184"/>
      <c r="E68" s="184">
        <f>-6526.58</f>
        <v>-6526.58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f>-6526.58</f>
        <v>-6526.58</v>
      </c>
      <c r="P68" s="185">
        <f>-4255.15</f>
        <v>-4255.1499999999996</v>
      </c>
      <c r="Q68" s="185"/>
      <c r="R68" s="185"/>
      <c r="S68" s="185"/>
      <c r="T68" s="185"/>
      <c r="U68" s="185">
        <f>2453.64</f>
        <v>2453.64</v>
      </c>
      <c r="V68" s="185"/>
      <c r="W68" s="185"/>
      <c r="X68" s="185"/>
      <c r="Y68" s="185"/>
      <c r="Z68" s="185"/>
      <c r="AA68" s="185"/>
      <c r="AB68" s="185"/>
      <c r="AC68" s="185">
        <f>18914.86</f>
        <v>18914.86</v>
      </c>
      <c r="AD68" s="185"/>
      <c r="AE68" s="185"/>
      <c r="AF68" s="185"/>
      <c r="AG68" s="185">
        <f>-6526.58</f>
        <v>-6526.58</v>
      </c>
      <c r="AH68" s="185"/>
      <c r="AI68" s="185"/>
      <c r="AJ68" s="185">
        <f>153691.31+200316.19</f>
        <v>354007.5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22634.51</f>
        <v>22634.51</v>
      </c>
      <c r="BF68" s="185"/>
      <c r="BG68" s="185"/>
      <c r="BH68" s="185"/>
      <c r="BI68" s="185"/>
      <c r="BJ68" s="185"/>
      <c r="BK68" s="185"/>
      <c r="BL68" s="185"/>
      <c r="BM68" s="185"/>
      <c r="BN68" s="185">
        <f>14570.53</f>
        <v>14570.53</v>
      </c>
      <c r="BO68" s="185"/>
      <c r="BP68" s="185"/>
      <c r="BQ68" s="185"/>
      <c r="BR68" s="185"/>
      <c r="BS68" s="185"/>
      <c r="BT68" s="185"/>
      <c r="BU68" s="185"/>
      <c r="BV68" s="185">
        <f>8433.95</f>
        <v>8433.9500000000007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390653.52000000008</v>
      </c>
      <c r="CF68" s="292"/>
    </row>
    <row r="69" spans="1:84" ht="12.65" customHeight="1" x14ac:dyDescent="0.35">
      <c r="A69" s="171" t="s">
        <v>241</v>
      </c>
      <c r="B69" s="175"/>
      <c r="C69" s="184">
        <f>25.98+4385.15</f>
        <v>4411.1299999999992</v>
      </c>
      <c r="D69" s="184"/>
      <c r="E69" s="185">
        <f>1500</f>
        <v>1500</v>
      </c>
      <c r="F69" s="185"/>
      <c r="G69" s="184"/>
      <c r="H69" s="184">
        <f>600+1267</f>
        <v>1867</v>
      </c>
      <c r="I69" s="185"/>
      <c r="J69" s="185"/>
      <c r="K69" s="185"/>
      <c r="L69" s="185"/>
      <c r="M69" s="184"/>
      <c r="N69" s="184"/>
      <c r="O69" s="184">
        <f>2130.86+661.52+638.75</f>
        <v>3431.13</v>
      </c>
      <c r="P69" s="185">
        <f>31675.04+482.98+45.66</f>
        <v>32203.68</v>
      </c>
      <c r="Q69" s="185"/>
      <c r="R69" s="224">
        <f>3817.44</f>
        <v>3817.44</v>
      </c>
      <c r="S69" s="185">
        <f>13171.45</f>
        <v>13171.45</v>
      </c>
      <c r="T69" s="184"/>
      <c r="U69" s="185">
        <f>105.22+106605.34</f>
        <v>106710.56</v>
      </c>
      <c r="V69" s="185"/>
      <c r="W69" s="184"/>
      <c r="X69" s="185"/>
      <c r="Y69" s="185">
        <f>99061.28+33.7</f>
        <v>99094.98</v>
      </c>
      <c r="Z69" s="185"/>
      <c r="AA69" s="185"/>
      <c r="AB69" s="185">
        <f>34779.84</f>
        <v>34779.839999999997</v>
      </c>
      <c r="AC69" s="185">
        <f>5378.38</f>
        <v>5378.38</v>
      </c>
      <c r="AD69" s="185"/>
      <c r="AE69" s="185"/>
      <c r="AF69" s="185"/>
      <c r="AG69" s="185">
        <f>16691.13+2667.23</f>
        <v>19358.36</v>
      </c>
      <c r="AH69" s="185"/>
      <c r="AI69" s="185"/>
      <c r="AJ69" s="185">
        <f>3723.91+21335.85+4036.44+34211.1+2336.37+13935.14+731</f>
        <v>80309.81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f>2989.16</f>
        <v>2989.16</v>
      </c>
      <c r="AZ69" s="185">
        <f>1698.4</f>
        <v>1698.4</v>
      </c>
      <c r="BA69" s="185"/>
      <c r="BB69" s="185"/>
      <c r="BC69" s="185"/>
      <c r="BD69" s="185">
        <f>-56345.94</f>
        <v>-56345.94</v>
      </c>
      <c r="BE69" s="185">
        <f>30938.3</f>
        <v>30938.3</v>
      </c>
      <c r="BF69" s="185">
        <f>1103.69</f>
        <v>1103.69</v>
      </c>
      <c r="BG69" s="185"/>
      <c r="BH69" s="224">
        <f>29.61+568.09</f>
        <v>597.70000000000005</v>
      </c>
      <c r="BI69" s="185"/>
      <c r="BJ69" s="185"/>
      <c r="BK69" s="185"/>
      <c r="BL69" s="185"/>
      <c r="BM69" s="185"/>
      <c r="BN69" s="185">
        <f>842240.4+6741.3</f>
        <v>848981.70000000007</v>
      </c>
      <c r="BO69" s="185"/>
      <c r="BP69" s="185"/>
      <c r="BQ69" s="185"/>
      <c r="BR69" s="185"/>
      <c r="BS69" s="185"/>
      <c r="BT69" s="185"/>
      <c r="BU69" s="185"/>
      <c r="BV69" s="185">
        <f>815.57+71438.04</f>
        <v>72253.61</v>
      </c>
      <c r="BW69" s="185"/>
      <c r="BX69" s="185">
        <v>460.24</v>
      </c>
      <c r="BY69" s="185">
        <f>3312.93</f>
        <v>3312.93</v>
      </c>
      <c r="BZ69" s="185"/>
      <c r="CA69" s="185">
        <f>59986.95</f>
        <v>59986.95</v>
      </c>
      <c r="CB69" s="185"/>
      <c r="CC69" s="185">
        <f>245450.14+2925</f>
        <v>248375.14</v>
      </c>
      <c r="CD69" s="188"/>
      <c r="CE69" s="195">
        <f t="shared" si="0"/>
        <v>1620385.6400000001</v>
      </c>
      <c r="CF69" s="29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92"/>
    </row>
    <row r="71" spans="1:84" ht="12.65" customHeight="1" x14ac:dyDescent="0.35">
      <c r="A71" s="171" t="s">
        <v>243</v>
      </c>
      <c r="B71" s="175"/>
      <c r="C71" s="195">
        <f>SUM(C61:C68)+C69-C70</f>
        <v>1722650.4899999998</v>
      </c>
      <c r="D71" s="195">
        <f t="shared" ref="D71:AI71" si="5">SUM(D61:D69)-D70</f>
        <v>0</v>
      </c>
      <c r="E71" s="195">
        <f t="shared" si="5"/>
        <v>2102340.34</v>
      </c>
      <c r="F71" s="195">
        <f t="shared" si="5"/>
        <v>0</v>
      </c>
      <c r="G71" s="195">
        <f t="shared" si="5"/>
        <v>0</v>
      </c>
      <c r="H71" s="195">
        <f t="shared" si="5"/>
        <v>4320567.7300000004</v>
      </c>
      <c r="I71" s="195">
        <f t="shared" si="5"/>
        <v>0</v>
      </c>
      <c r="J71" s="195">
        <f t="shared" si="5"/>
        <v>7098.47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2441715.94</v>
      </c>
      <c r="P71" s="195">
        <f t="shared" si="5"/>
        <v>1386538.47</v>
      </c>
      <c r="Q71" s="195">
        <f t="shared" si="5"/>
        <v>314594.07999999996</v>
      </c>
      <c r="R71" s="195">
        <f t="shared" si="5"/>
        <v>270742.83</v>
      </c>
      <c r="S71" s="195">
        <f t="shared" si="5"/>
        <v>187337.74000000002</v>
      </c>
      <c r="T71" s="195">
        <f t="shared" si="5"/>
        <v>0</v>
      </c>
      <c r="U71" s="195">
        <f t="shared" si="5"/>
        <v>1744002.51</v>
      </c>
      <c r="V71" s="195">
        <f t="shared" si="5"/>
        <v>0</v>
      </c>
      <c r="W71" s="195">
        <f t="shared" si="5"/>
        <v>123523.58</v>
      </c>
      <c r="X71" s="195">
        <f t="shared" si="5"/>
        <v>129862.04</v>
      </c>
      <c r="Y71" s="195">
        <f t="shared" si="5"/>
        <v>1224869.46</v>
      </c>
      <c r="Z71" s="195">
        <f t="shared" si="5"/>
        <v>0</v>
      </c>
      <c r="AA71" s="195">
        <f t="shared" si="5"/>
        <v>20633.84</v>
      </c>
      <c r="AB71" s="195">
        <f t="shared" si="5"/>
        <v>821475.08</v>
      </c>
      <c r="AC71" s="195">
        <f t="shared" si="5"/>
        <v>555323.15</v>
      </c>
      <c r="AD71" s="195">
        <f t="shared" si="5"/>
        <v>0</v>
      </c>
      <c r="AE71" s="195">
        <f t="shared" si="5"/>
        <v>12377.45</v>
      </c>
      <c r="AF71" s="195">
        <f t="shared" si="5"/>
        <v>0</v>
      </c>
      <c r="AG71" s="195">
        <f t="shared" si="5"/>
        <v>3907695.08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6266757</v>
      </c>
      <c r="AK71" s="195">
        <f t="shared" si="6"/>
        <v>0</v>
      </c>
      <c r="AL71" s="195">
        <f t="shared" si="6"/>
        <v>10624.04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235664.37</v>
      </c>
      <c r="AZ71" s="195">
        <f t="shared" si="6"/>
        <v>532826.69000000006</v>
      </c>
      <c r="BA71" s="195">
        <f t="shared" si="6"/>
        <v>46.34</v>
      </c>
      <c r="BB71" s="195">
        <f t="shared" si="6"/>
        <v>0</v>
      </c>
      <c r="BC71" s="195">
        <f t="shared" si="6"/>
        <v>0</v>
      </c>
      <c r="BD71" s="195">
        <f t="shared" si="6"/>
        <v>200925.59</v>
      </c>
      <c r="BE71" s="195">
        <f t="shared" si="6"/>
        <v>867626.87</v>
      </c>
      <c r="BF71" s="195">
        <f t="shared" si="6"/>
        <v>455153.54</v>
      </c>
      <c r="BG71" s="195">
        <f t="shared" si="6"/>
        <v>8928.93</v>
      </c>
      <c r="BH71" s="195">
        <f t="shared" si="6"/>
        <v>37264.949999999997</v>
      </c>
      <c r="BI71" s="195">
        <f t="shared" si="6"/>
        <v>0</v>
      </c>
      <c r="BJ71" s="195">
        <f t="shared" si="6"/>
        <v>0</v>
      </c>
      <c r="BK71" s="195">
        <f t="shared" si="6"/>
        <v>40732.07</v>
      </c>
      <c r="BL71" s="195">
        <f t="shared" si="6"/>
        <v>555500.36</v>
      </c>
      <c r="BM71" s="195">
        <f t="shared" si="6"/>
        <v>110449.16</v>
      </c>
      <c r="BN71" s="195">
        <f t="shared" si="6"/>
        <v>2831696.12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35444.979999999996</v>
      </c>
      <c r="BS71" s="195">
        <f t="shared" si="7"/>
        <v>3051</v>
      </c>
      <c r="BT71" s="195">
        <f t="shared" si="7"/>
        <v>3864</v>
      </c>
      <c r="BU71" s="195">
        <f t="shared" si="7"/>
        <v>0</v>
      </c>
      <c r="BV71" s="195">
        <f t="shared" si="7"/>
        <v>444748.05</v>
      </c>
      <c r="BW71" s="195">
        <f t="shared" si="7"/>
        <v>0</v>
      </c>
      <c r="BX71" s="195">
        <f t="shared" si="7"/>
        <v>321476.34000000003</v>
      </c>
      <c r="BY71" s="195">
        <f t="shared" si="7"/>
        <v>403716.87</v>
      </c>
      <c r="BZ71" s="195">
        <f t="shared" si="7"/>
        <v>0</v>
      </c>
      <c r="CA71" s="195">
        <f t="shared" si="7"/>
        <v>54358.559999999998</v>
      </c>
      <c r="CB71" s="195">
        <f t="shared" si="7"/>
        <v>0</v>
      </c>
      <c r="CC71" s="195">
        <f t="shared" si="7"/>
        <v>456739.04000000004</v>
      </c>
      <c r="CD71" s="244">
        <f>CD69-CD70</f>
        <v>0</v>
      </c>
      <c r="CE71" s="195">
        <f>SUM(CE61:CE69)-CE70</f>
        <v>35170943.149999991</v>
      </c>
      <c r="CF71" s="292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92"/>
    </row>
    <row r="73" spans="1:84" ht="12.65" customHeight="1" x14ac:dyDescent="0.35">
      <c r="A73" s="171" t="s">
        <v>245</v>
      </c>
      <c r="B73" s="175"/>
      <c r="C73" s="184">
        <f>1399840.06</f>
        <v>1399840.06</v>
      </c>
      <c r="D73" s="184"/>
      <c r="E73" s="185">
        <f>8076724.96+1276-9002.7+72780.66</f>
        <v>8141778.9199999999</v>
      </c>
      <c r="F73" s="185"/>
      <c r="G73" s="184"/>
      <c r="H73" s="184">
        <f>3750280.9</f>
        <v>3750280.9</v>
      </c>
      <c r="I73" s="185"/>
      <c r="J73" s="185">
        <f>871628.21</f>
        <v>871628.21</v>
      </c>
      <c r="K73" s="185"/>
      <c r="L73" s="185"/>
      <c r="M73" s="184"/>
      <c r="N73" s="184"/>
      <c r="O73" s="184">
        <f>1052284.46+1955888.1</f>
        <v>3008172.56</v>
      </c>
      <c r="P73" s="185">
        <f>3166122.09+876619.51</f>
        <v>4042741.5999999996</v>
      </c>
      <c r="Q73" s="185">
        <f>59604.72</f>
        <v>59604.72</v>
      </c>
      <c r="R73" s="185">
        <f>236845.65</f>
        <v>236845.65</v>
      </c>
      <c r="S73" s="185">
        <f>107993.09</f>
        <v>107993.09</v>
      </c>
      <c r="T73" s="185"/>
      <c r="U73" s="185">
        <f>6362984.82+65409.91</f>
        <v>6428394.7300000004</v>
      </c>
      <c r="V73" s="185">
        <f>325992.96</f>
        <v>325992.96000000002</v>
      </c>
      <c r="W73" s="185">
        <f>46728.31</f>
        <v>46728.31</v>
      </c>
      <c r="X73" s="185">
        <f>2250119.94</f>
        <v>2250119.94</v>
      </c>
      <c r="Y73" s="185">
        <f>1033511.12+135282.05</f>
        <v>1168793.17</v>
      </c>
      <c r="Z73" s="185"/>
      <c r="AA73" s="185"/>
      <c r="AB73" s="185">
        <f>7245597.79+6536.11</f>
        <v>7252133.9000000004</v>
      </c>
      <c r="AC73" s="185">
        <f>2950349.93</f>
        <v>2950349.93</v>
      </c>
      <c r="AD73" s="185"/>
      <c r="AE73" s="185">
        <f>62516.86</f>
        <v>62516.86</v>
      </c>
      <c r="AF73" s="185"/>
      <c r="AG73" s="185">
        <f>2520949.36</f>
        <v>2520949.36</v>
      </c>
      <c r="AH73" s="185"/>
      <c r="AI73" s="185"/>
      <c r="AJ73" s="185">
        <f>-147</f>
        <v>-147</v>
      </c>
      <c r="AK73" s="185">
        <f>-11748.1</f>
        <v>-11748.1</v>
      </c>
      <c r="AL73" s="185">
        <f>30531.63</f>
        <v>30531.63</v>
      </c>
      <c r="AM73" s="185"/>
      <c r="AN73" s="185"/>
      <c r="AO73" s="185">
        <f>881819.74</f>
        <v>881819.74</v>
      </c>
      <c r="AP73" s="185"/>
      <c r="AQ73" s="185"/>
      <c r="AR73" s="185"/>
      <c r="AS73" s="185"/>
      <c r="AT73" s="185"/>
      <c r="AU73" s="185"/>
      <c r="AV73" s="185">
        <f>22535.29+7395.01</f>
        <v>29930.300000000003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45555251.439999998</v>
      </c>
      <c r="CF73" s="292"/>
    </row>
    <row r="74" spans="1:84" ht="12.65" customHeight="1" x14ac:dyDescent="0.35">
      <c r="A74" s="171" t="s">
        <v>246</v>
      </c>
      <c r="B74" s="175"/>
      <c r="C74" s="184">
        <f>57594.83</f>
        <v>57594.83</v>
      </c>
      <c r="D74" s="184"/>
      <c r="E74" s="185">
        <f>-7644+4786.95+748159.92</f>
        <v>745302.87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f>213318.86+28756.08</f>
        <v>242074.94</v>
      </c>
      <c r="P74" s="185">
        <f>8444098.84+1067667.86</f>
        <v>9511766.6999999993</v>
      </c>
      <c r="Q74" s="185">
        <f>729341.87</f>
        <v>729341.87</v>
      </c>
      <c r="R74" s="185">
        <f>575543.77</f>
        <v>575543.77</v>
      </c>
      <c r="S74" s="185">
        <f>485393.37</f>
        <v>485393.37</v>
      </c>
      <c r="T74" s="185"/>
      <c r="U74" s="185">
        <f>14220918.32+44638.04</f>
        <v>14265556.359999999</v>
      </c>
      <c r="V74" s="185">
        <f>1075589.65</f>
        <v>1075589.6499999999</v>
      </c>
      <c r="W74" s="185">
        <f>885242.2</f>
        <v>885242.2</v>
      </c>
      <c r="X74" s="185">
        <f>14511708.78</f>
        <v>14511708.779999999</v>
      </c>
      <c r="Y74" s="185">
        <f>6710863.7+2251442.12</f>
        <v>8962305.8200000003</v>
      </c>
      <c r="Z74" s="185"/>
      <c r="AA74" s="185"/>
      <c r="AB74" s="185">
        <f>2787748.76+209634.45</f>
        <v>2997383.21</v>
      </c>
      <c r="AC74" s="185">
        <f>450248.11</f>
        <v>450248.11</v>
      </c>
      <c r="AD74" s="185"/>
      <c r="AE74" s="185">
        <f>148271.18</f>
        <v>148271.18</v>
      </c>
      <c r="AF74" s="185"/>
      <c r="AG74" s="185">
        <f>20644166.62</f>
        <v>20644166.620000001</v>
      </c>
      <c r="AH74" s="185"/>
      <c r="AI74" s="185"/>
      <c r="AJ74" s="185">
        <f>2396695.54+8917751.46+1777736.07+6999612.27</f>
        <v>20091795.34</v>
      </c>
      <c r="AK74" s="185">
        <f>23793.28</f>
        <v>23793.279999999999</v>
      </c>
      <c r="AL74" s="185"/>
      <c r="AM74" s="185"/>
      <c r="AN74" s="185"/>
      <c r="AO74" s="185">
        <f>119011.41</f>
        <v>119011.41</v>
      </c>
      <c r="AP74" s="185"/>
      <c r="AQ74" s="185"/>
      <c r="AR74" s="185"/>
      <c r="AS74" s="185"/>
      <c r="AT74" s="185"/>
      <c r="AU74" s="185"/>
      <c r="AV74" s="185">
        <f>85693.19+260.36</f>
        <v>85953.55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96608043.859999999</v>
      </c>
      <c r="CF74" s="251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1457434.8900000001</v>
      </c>
      <c r="D75" s="195">
        <f t="shared" si="9"/>
        <v>0</v>
      </c>
      <c r="E75" s="195">
        <f t="shared" si="9"/>
        <v>8887081.7899999991</v>
      </c>
      <c r="F75" s="195">
        <f t="shared" si="9"/>
        <v>0</v>
      </c>
      <c r="G75" s="195">
        <f t="shared" si="9"/>
        <v>0</v>
      </c>
      <c r="H75" s="195">
        <f t="shared" si="9"/>
        <v>3750280.9</v>
      </c>
      <c r="I75" s="195">
        <f t="shared" si="9"/>
        <v>0</v>
      </c>
      <c r="J75" s="195">
        <f t="shared" si="9"/>
        <v>871628.21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3250247.5</v>
      </c>
      <c r="P75" s="195">
        <f t="shared" si="9"/>
        <v>13554508.299999999</v>
      </c>
      <c r="Q75" s="195">
        <f t="shared" si="9"/>
        <v>788946.59</v>
      </c>
      <c r="R75" s="195">
        <f t="shared" si="9"/>
        <v>812389.42</v>
      </c>
      <c r="S75" s="195">
        <f t="shared" si="9"/>
        <v>593386.46</v>
      </c>
      <c r="T75" s="195">
        <f t="shared" si="9"/>
        <v>0</v>
      </c>
      <c r="U75" s="195">
        <f t="shared" si="9"/>
        <v>20693951.09</v>
      </c>
      <c r="V75" s="195">
        <f t="shared" si="9"/>
        <v>1401582.6099999999</v>
      </c>
      <c r="W75" s="195">
        <f t="shared" si="9"/>
        <v>931970.51</v>
      </c>
      <c r="X75" s="195">
        <f t="shared" si="9"/>
        <v>16761828.719999999</v>
      </c>
      <c r="Y75" s="195">
        <f t="shared" si="9"/>
        <v>10131098.99</v>
      </c>
      <c r="Z75" s="195">
        <f t="shared" si="9"/>
        <v>0</v>
      </c>
      <c r="AA75" s="195">
        <f t="shared" si="9"/>
        <v>0</v>
      </c>
      <c r="AB75" s="195">
        <f t="shared" si="9"/>
        <v>10249517.109999999</v>
      </c>
      <c r="AC75" s="195">
        <f t="shared" si="9"/>
        <v>3400598.04</v>
      </c>
      <c r="AD75" s="195">
        <f t="shared" si="9"/>
        <v>0</v>
      </c>
      <c r="AE75" s="195">
        <f t="shared" si="9"/>
        <v>210788.03999999998</v>
      </c>
      <c r="AF75" s="195">
        <f t="shared" si="9"/>
        <v>0</v>
      </c>
      <c r="AG75" s="195">
        <f t="shared" si="9"/>
        <v>23165115.98</v>
      </c>
      <c r="AH75" s="195">
        <f t="shared" si="9"/>
        <v>0</v>
      </c>
      <c r="AI75" s="195">
        <f t="shared" si="9"/>
        <v>0</v>
      </c>
      <c r="AJ75" s="195">
        <f t="shared" si="9"/>
        <v>20091648.34</v>
      </c>
      <c r="AK75" s="195">
        <f t="shared" si="9"/>
        <v>12045.179999999998</v>
      </c>
      <c r="AL75" s="195">
        <f t="shared" si="9"/>
        <v>30531.63</v>
      </c>
      <c r="AM75" s="195">
        <f t="shared" si="9"/>
        <v>0</v>
      </c>
      <c r="AN75" s="195">
        <f t="shared" si="9"/>
        <v>0</v>
      </c>
      <c r="AO75" s="195">
        <f t="shared" si="9"/>
        <v>1000831.15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115883.85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142163295.29999998</v>
      </c>
      <c r="CF75" s="251"/>
    </row>
    <row r="76" spans="1:84" ht="12.65" customHeight="1" x14ac:dyDescent="0.35">
      <c r="A76" s="171" t="s">
        <v>248</v>
      </c>
      <c r="B76" s="175"/>
      <c r="C76" s="184">
        <v>3000</v>
      </c>
      <c r="D76" s="184"/>
      <c r="E76" s="185">
        <v>9343</v>
      </c>
      <c r="F76" s="185"/>
      <c r="G76" s="184"/>
      <c r="H76" s="184">
        <v>3872</v>
      </c>
      <c r="I76" s="185"/>
      <c r="J76" s="185">
        <v>700</v>
      </c>
      <c r="K76" s="185"/>
      <c r="L76" s="185"/>
      <c r="M76" s="185"/>
      <c r="N76" s="185"/>
      <c r="O76" s="185">
        <v>8865</v>
      </c>
      <c r="P76" s="185">
        <v>2450</v>
      </c>
      <c r="Q76" s="185">
        <v>3905</v>
      </c>
      <c r="R76" s="185">
        <v>160</v>
      </c>
      <c r="S76" s="185"/>
      <c r="T76" s="185"/>
      <c r="U76" s="185">
        <v>2741</v>
      </c>
      <c r="V76" s="185"/>
      <c r="W76" s="185"/>
      <c r="X76" s="185"/>
      <c r="Y76" s="185">
        <v>4078</v>
      </c>
      <c r="Z76" s="185"/>
      <c r="AA76" s="185"/>
      <c r="AB76" s="185">
        <v>1062</v>
      </c>
      <c r="AC76" s="185">
        <v>842</v>
      </c>
      <c r="AD76" s="185"/>
      <c r="AE76" s="185">
        <v>550</v>
      </c>
      <c r="AF76" s="185"/>
      <c r="AG76" s="185">
        <v>4626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1663</v>
      </c>
      <c r="AZ76" s="185"/>
      <c r="BA76" s="185"/>
      <c r="BB76" s="185"/>
      <c r="BC76" s="185"/>
      <c r="BD76" s="185">
        <v>2128</v>
      </c>
      <c r="BE76" s="185">
        <v>3107</v>
      </c>
      <c r="BF76" s="185">
        <f>1348-550</f>
        <v>798</v>
      </c>
      <c r="BG76" s="185"/>
      <c r="BH76" s="185">
        <v>280</v>
      </c>
      <c r="BI76" s="185"/>
      <c r="BJ76" s="185"/>
      <c r="BK76" s="185">
        <v>2500</v>
      </c>
      <c r="BL76" s="185"/>
      <c r="BM76" s="185"/>
      <c r="BN76" s="185">
        <v>2193</v>
      </c>
      <c r="BO76" s="185"/>
      <c r="BP76" s="185"/>
      <c r="BQ76" s="185"/>
      <c r="BR76" s="185">
        <v>408</v>
      </c>
      <c r="BS76" s="185">
        <v>300</v>
      </c>
      <c r="BT76" s="185">
        <v>380</v>
      </c>
      <c r="BU76" s="185"/>
      <c r="BV76" s="185">
        <v>1360</v>
      </c>
      <c r="BW76" s="185"/>
      <c r="BX76" s="185">
        <v>324</v>
      </c>
      <c r="BY76" s="185"/>
      <c r="BZ76" s="185"/>
      <c r="CA76" s="185"/>
      <c r="CB76" s="185"/>
      <c r="CC76" s="185">
        <v>8658</v>
      </c>
      <c r="CD76" s="248" t="s">
        <v>221</v>
      </c>
      <c r="CE76" s="195">
        <f t="shared" si="8"/>
        <v>70293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f>802</f>
        <v>802</v>
      </c>
      <c r="D77" s="184"/>
      <c r="E77" s="184">
        <f>12837</f>
        <v>12837</v>
      </c>
      <c r="F77" s="184"/>
      <c r="G77" s="184"/>
      <c r="H77" s="184">
        <f>13015</f>
        <v>13015</v>
      </c>
      <c r="I77" s="184"/>
      <c r="J77" s="184"/>
      <c r="K77" s="184"/>
      <c r="L77" s="184"/>
      <c r="M77" s="184"/>
      <c r="N77" s="184"/>
      <c r="O77" s="184">
        <f>2693</f>
        <v>2693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29347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0</v>
      </c>
      <c r="CF78" s="195"/>
    </row>
    <row r="79" spans="1:84" ht="12.65" customHeight="1" x14ac:dyDescent="0.35">
      <c r="A79" s="171" t="s">
        <v>251</v>
      </c>
      <c r="B79" s="175"/>
      <c r="C79" s="225">
        <f>36033</f>
        <v>36033</v>
      </c>
      <c r="D79" s="225"/>
      <c r="E79" s="184">
        <f>9627+39286</f>
        <v>48913</v>
      </c>
      <c r="F79" s="184"/>
      <c r="G79" s="184"/>
      <c r="H79" s="184">
        <f>11944</f>
        <v>11944</v>
      </c>
      <c r="I79" s="184"/>
      <c r="J79" s="184"/>
      <c r="K79" s="184"/>
      <c r="L79" s="184"/>
      <c r="M79" s="184"/>
      <c r="N79" s="184"/>
      <c r="O79" s="184"/>
      <c r="P79" s="184">
        <f>23069</f>
        <v>23069</v>
      </c>
      <c r="Q79" s="184"/>
      <c r="R79" s="184"/>
      <c r="S79" s="184"/>
      <c r="T79" s="184"/>
      <c r="U79" s="184"/>
      <c r="V79" s="184"/>
      <c r="W79" s="184"/>
      <c r="X79" s="184"/>
      <c r="Y79" s="184">
        <f>20762</f>
        <v>20762</v>
      </c>
      <c r="Z79" s="184"/>
      <c r="AA79" s="184"/>
      <c r="AB79" s="184"/>
      <c r="AC79" s="184"/>
      <c r="AD79" s="184"/>
      <c r="AE79" s="184"/>
      <c r="AF79" s="184"/>
      <c r="AG79" s="184">
        <f>89969</f>
        <v>89969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230690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f>7.06</f>
        <v>7.06</v>
      </c>
      <c r="D80" s="187"/>
      <c r="E80" s="187">
        <f>1.13+3.11+3.14+5.38+0.46+0.51</f>
        <v>13.730000000000002</v>
      </c>
      <c r="F80" s="187"/>
      <c r="G80" s="187"/>
      <c r="H80" s="187">
        <f>13.17</f>
        <v>13.17</v>
      </c>
      <c r="I80" s="187"/>
      <c r="J80" s="187"/>
      <c r="K80" s="187"/>
      <c r="L80" s="187"/>
      <c r="M80" s="187"/>
      <c r="N80" s="187"/>
      <c r="O80" s="187">
        <f>11.47+0.89</f>
        <v>12.360000000000001</v>
      </c>
      <c r="P80" s="187">
        <f>4.19+0.75</f>
        <v>4.9400000000000004</v>
      </c>
      <c r="Q80" s="187">
        <f>2.01</f>
        <v>2.0099999999999998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15.42</f>
        <v>15.42</v>
      </c>
      <c r="AH80" s="187"/>
      <c r="AI80" s="187"/>
      <c r="AJ80" s="187">
        <f>1.05</f>
        <v>1.05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69.739999999999995</v>
      </c>
      <c r="CF80" s="254"/>
    </row>
    <row r="81" spans="1:6" ht="12.65" customHeight="1" x14ac:dyDescent="0.35">
      <c r="A81" s="208" t="s">
        <v>253</v>
      </c>
      <c r="B81" s="208"/>
      <c r="C81" s="208"/>
      <c r="D81" s="208"/>
      <c r="E81" s="208"/>
      <c r="F81" s="231"/>
    </row>
    <row r="82" spans="1:6" ht="12.65" customHeight="1" x14ac:dyDescent="0.35">
      <c r="A82" s="171" t="s">
        <v>254</v>
      </c>
      <c r="B82" s="172"/>
      <c r="C82" s="279" t="s">
        <v>1284</v>
      </c>
      <c r="D82" s="255"/>
      <c r="E82" s="175"/>
      <c r="F82" s="231"/>
    </row>
    <row r="83" spans="1:6" ht="12.65" customHeight="1" x14ac:dyDescent="0.35">
      <c r="A83" s="173" t="s">
        <v>255</v>
      </c>
      <c r="B83" s="172" t="s">
        <v>256</v>
      </c>
      <c r="C83" s="226" t="s">
        <v>1268</v>
      </c>
      <c r="D83" s="255"/>
      <c r="E83" s="175"/>
      <c r="F83" s="231"/>
    </row>
    <row r="84" spans="1:6" ht="12.65" customHeight="1" x14ac:dyDescent="0.35">
      <c r="A84" s="173" t="s">
        <v>257</v>
      </c>
      <c r="B84" s="172" t="s">
        <v>256</v>
      </c>
      <c r="C84" s="226" t="s">
        <v>1269</v>
      </c>
      <c r="D84" s="205"/>
      <c r="E84" s="204"/>
      <c r="F84" s="231"/>
    </row>
    <row r="85" spans="1:6" ht="12.65" customHeight="1" x14ac:dyDescent="0.35">
      <c r="A85" s="173" t="s">
        <v>1251</v>
      </c>
      <c r="B85" s="172"/>
      <c r="C85" s="226" t="s">
        <v>1270</v>
      </c>
      <c r="D85" s="205"/>
      <c r="E85" s="204"/>
      <c r="F85" s="231"/>
    </row>
    <row r="86" spans="1:6" ht="12.65" customHeight="1" x14ac:dyDescent="0.35">
      <c r="A86" s="173" t="s">
        <v>1252</v>
      </c>
      <c r="B86" s="172" t="s">
        <v>256</v>
      </c>
      <c r="C86" s="226"/>
      <c r="D86" s="205"/>
      <c r="E86" s="204"/>
      <c r="F86" s="231"/>
    </row>
    <row r="87" spans="1:6" ht="12.65" customHeight="1" x14ac:dyDescent="0.35">
      <c r="A87" s="173" t="s">
        <v>258</v>
      </c>
      <c r="B87" s="172" t="s">
        <v>256</v>
      </c>
      <c r="C87" s="226" t="s">
        <v>1271</v>
      </c>
      <c r="D87" s="205"/>
      <c r="E87" s="204"/>
      <c r="F87" s="231"/>
    </row>
    <row r="88" spans="1:6" ht="12.65" customHeight="1" x14ac:dyDescent="0.35">
      <c r="A88" s="173" t="s">
        <v>259</v>
      </c>
      <c r="B88" s="172" t="s">
        <v>256</v>
      </c>
      <c r="C88" s="226" t="s">
        <v>1272</v>
      </c>
      <c r="D88" s="205"/>
      <c r="E88" s="204"/>
      <c r="F88" s="231"/>
    </row>
    <row r="89" spans="1:6" ht="12.65" customHeight="1" x14ac:dyDescent="0.35">
      <c r="A89" s="173" t="s">
        <v>260</v>
      </c>
      <c r="B89" s="172" t="s">
        <v>256</v>
      </c>
      <c r="C89" s="226" t="s">
        <v>1273</v>
      </c>
      <c r="D89" s="205"/>
      <c r="E89" s="204"/>
      <c r="F89" s="231"/>
    </row>
    <row r="90" spans="1:6" ht="12.65" customHeight="1" x14ac:dyDescent="0.35">
      <c r="A90" s="173" t="s">
        <v>261</v>
      </c>
      <c r="B90" s="172" t="s">
        <v>256</v>
      </c>
      <c r="C90" s="226" t="s">
        <v>1274</v>
      </c>
      <c r="D90" s="205"/>
      <c r="E90" s="204"/>
      <c r="F90" s="231"/>
    </row>
    <row r="91" spans="1:6" ht="12.65" customHeight="1" x14ac:dyDescent="0.35">
      <c r="A91" s="173" t="s">
        <v>262</v>
      </c>
      <c r="B91" s="172" t="s">
        <v>256</v>
      </c>
      <c r="C91" s="226" t="s">
        <v>1275</v>
      </c>
      <c r="D91" s="205"/>
      <c r="E91" s="204"/>
      <c r="F91" s="231"/>
    </row>
    <row r="92" spans="1:6" ht="12.65" customHeight="1" x14ac:dyDescent="0.35">
      <c r="A92" s="173" t="s">
        <v>263</v>
      </c>
      <c r="B92" s="172" t="s">
        <v>256</v>
      </c>
      <c r="C92" s="226" t="s">
        <v>1276</v>
      </c>
      <c r="D92" s="255"/>
      <c r="E92" s="175"/>
      <c r="F92" s="231"/>
    </row>
    <row r="93" spans="1:6" ht="12.65" customHeight="1" x14ac:dyDescent="0.35">
      <c r="A93" s="173" t="s">
        <v>264</v>
      </c>
      <c r="B93" s="172" t="s">
        <v>256</v>
      </c>
      <c r="C93" s="226" t="s">
        <v>1277</v>
      </c>
      <c r="D93" s="255"/>
      <c r="E93" s="175"/>
      <c r="F93" s="231"/>
    </row>
    <row r="94" spans="1:6" ht="12.65" customHeight="1" x14ac:dyDescent="0.35">
      <c r="A94" s="173"/>
      <c r="B94" s="173"/>
      <c r="C94" s="191"/>
      <c r="D94" s="175"/>
      <c r="E94" s="175"/>
      <c r="F94" s="231"/>
    </row>
    <row r="95" spans="1:6" ht="12.65" customHeight="1" x14ac:dyDescent="0.35">
      <c r="A95" s="208" t="s">
        <v>265</v>
      </c>
      <c r="B95" s="208"/>
      <c r="C95" s="208"/>
      <c r="D95" s="208"/>
      <c r="E95" s="208"/>
      <c r="F95" s="231"/>
    </row>
    <row r="96" spans="1:6" ht="12.65" customHeight="1" x14ac:dyDescent="0.35">
      <c r="A96" s="256" t="s">
        <v>266</v>
      </c>
      <c r="B96" s="256"/>
      <c r="C96" s="256"/>
      <c r="D96" s="256"/>
      <c r="E96" s="256"/>
      <c r="F96" s="231"/>
    </row>
    <row r="97" spans="1:6" ht="12.65" customHeight="1" x14ac:dyDescent="0.35">
      <c r="A97" s="173" t="s">
        <v>267</v>
      </c>
      <c r="B97" s="172" t="s">
        <v>256</v>
      </c>
      <c r="C97" s="189"/>
      <c r="D97" s="175"/>
      <c r="E97" s="175"/>
      <c r="F97" s="231"/>
    </row>
    <row r="98" spans="1:6" ht="12.65" customHeight="1" x14ac:dyDescent="0.35">
      <c r="A98" s="173" t="s">
        <v>259</v>
      </c>
      <c r="B98" s="172" t="s">
        <v>256</v>
      </c>
      <c r="C98" s="189"/>
      <c r="D98" s="175"/>
      <c r="E98" s="175"/>
      <c r="F98" s="231"/>
    </row>
    <row r="99" spans="1:6" ht="12.65" customHeight="1" x14ac:dyDescent="0.35">
      <c r="A99" s="173" t="s">
        <v>268</v>
      </c>
      <c r="B99" s="172" t="s">
        <v>256</v>
      </c>
      <c r="C99" s="189"/>
      <c r="D99" s="175"/>
      <c r="E99" s="175"/>
      <c r="F99" s="231"/>
    </row>
    <row r="100" spans="1:6" ht="12.65" customHeight="1" x14ac:dyDescent="0.35">
      <c r="A100" s="256" t="s">
        <v>269</v>
      </c>
      <c r="B100" s="256"/>
      <c r="C100" s="256"/>
      <c r="D100" s="256"/>
      <c r="E100" s="256"/>
      <c r="F100" s="231"/>
    </row>
    <row r="101" spans="1:6" ht="12.65" customHeight="1" x14ac:dyDescent="0.35">
      <c r="A101" s="173" t="s">
        <v>270</v>
      </c>
      <c r="B101" s="172" t="s">
        <v>256</v>
      </c>
      <c r="C101" s="189"/>
      <c r="D101" s="175"/>
      <c r="E101" s="175"/>
      <c r="F101" s="231"/>
    </row>
    <row r="102" spans="1:6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  <c r="F102" s="231"/>
    </row>
    <row r="103" spans="1:6" ht="12.65" customHeight="1" x14ac:dyDescent="0.35">
      <c r="A103" s="256" t="s">
        <v>271</v>
      </c>
      <c r="B103" s="256"/>
      <c r="C103" s="256"/>
      <c r="D103" s="256"/>
      <c r="E103" s="256"/>
      <c r="F103" s="231"/>
    </row>
    <row r="104" spans="1:6" ht="12.65" customHeight="1" x14ac:dyDescent="0.35">
      <c r="A104" s="173" t="s">
        <v>272</v>
      </c>
      <c r="B104" s="172" t="s">
        <v>256</v>
      </c>
      <c r="C104" s="189"/>
      <c r="D104" s="175"/>
      <c r="E104" s="175"/>
      <c r="F104" s="231"/>
    </row>
    <row r="105" spans="1:6" ht="12.65" customHeight="1" x14ac:dyDescent="0.35">
      <c r="A105" s="173" t="s">
        <v>273</v>
      </c>
      <c r="B105" s="172" t="s">
        <v>256</v>
      </c>
      <c r="C105" s="189"/>
      <c r="D105" s="175"/>
      <c r="E105" s="175"/>
      <c r="F105" s="231"/>
    </row>
    <row r="106" spans="1:6" ht="12.65" customHeight="1" x14ac:dyDescent="0.35">
      <c r="A106" s="173" t="s">
        <v>274</v>
      </c>
      <c r="B106" s="172" t="s">
        <v>256</v>
      </c>
      <c r="C106" s="189"/>
      <c r="D106" s="175"/>
      <c r="E106" s="175"/>
      <c r="F106" s="231"/>
    </row>
    <row r="107" spans="1:6" ht="21.75" customHeight="1" x14ac:dyDescent="0.35">
      <c r="A107" s="173"/>
      <c r="B107" s="172"/>
      <c r="C107" s="190"/>
      <c r="D107" s="175"/>
      <c r="E107" s="175"/>
      <c r="F107" s="231"/>
    </row>
    <row r="108" spans="1:6" ht="13.5" customHeight="1" x14ac:dyDescent="0.35">
      <c r="A108" s="207" t="s">
        <v>275</v>
      </c>
      <c r="B108" s="208"/>
      <c r="C108" s="208"/>
      <c r="D108" s="208"/>
      <c r="E108" s="208"/>
      <c r="F108" s="231"/>
    </row>
    <row r="109" spans="1:6" ht="13.5" customHeight="1" x14ac:dyDescent="0.35">
      <c r="A109" s="173"/>
      <c r="B109" s="172"/>
      <c r="C109" s="190"/>
      <c r="D109" s="175"/>
      <c r="E109" s="175"/>
      <c r="F109" s="231"/>
    </row>
    <row r="110" spans="1:6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  <c r="F110" s="231"/>
    </row>
    <row r="111" spans="1:6" ht="12.65" customHeight="1" x14ac:dyDescent="0.35">
      <c r="A111" s="173" t="s">
        <v>278</v>
      </c>
      <c r="B111" s="172" t="s">
        <v>256</v>
      </c>
      <c r="C111" s="189">
        <v>1280</v>
      </c>
      <c r="D111" s="174">
        <v>7484</v>
      </c>
      <c r="E111" s="175"/>
      <c r="F111" s="231"/>
    </row>
    <row r="112" spans="1:6" ht="12.65" customHeight="1" x14ac:dyDescent="0.35">
      <c r="A112" s="173" t="s">
        <v>279</v>
      </c>
      <c r="B112" s="172" t="s">
        <v>256</v>
      </c>
      <c r="C112" s="189"/>
      <c r="D112" s="174"/>
      <c r="E112" s="175"/>
      <c r="F112" s="231"/>
    </row>
    <row r="113" spans="1:6" ht="12.65" customHeight="1" x14ac:dyDescent="0.35">
      <c r="A113" s="173" t="s">
        <v>280</v>
      </c>
      <c r="B113" s="172" t="s">
        <v>256</v>
      </c>
      <c r="C113" s="189"/>
      <c r="D113" s="174"/>
      <c r="E113" s="175"/>
      <c r="F113" s="231"/>
    </row>
    <row r="114" spans="1:6" ht="12.65" customHeight="1" x14ac:dyDescent="0.35">
      <c r="A114" s="173" t="s">
        <v>281</v>
      </c>
      <c r="B114" s="172" t="s">
        <v>256</v>
      </c>
      <c r="C114" s="189">
        <v>349</v>
      </c>
      <c r="D114" s="174">
        <v>980</v>
      </c>
      <c r="E114" s="175"/>
      <c r="F114" s="231"/>
    </row>
    <row r="115" spans="1:6" ht="12.65" customHeight="1" x14ac:dyDescent="0.35">
      <c r="A115" s="171" t="s">
        <v>282</v>
      </c>
      <c r="B115" s="175"/>
      <c r="C115" s="182" t="s">
        <v>167</v>
      </c>
      <c r="D115" s="175"/>
      <c r="E115" s="175"/>
      <c r="F115" s="231"/>
    </row>
    <row r="116" spans="1:6" ht="12.65" customHeight="1" x14ac:dyDescent="0.35">
      <c r="A116" s="173" t="s">
        <v>283</v>
      </c>
      <c r="B116" s="172" t="s">
        <v>256</v>
      </c>
      <c r="C116" s="189">
        <v>7</v>
      </c>
      <c r="D116" s="175"/>
      <c r="E116" s="175"/>
      <c r="F116" s="231"/>
    </row>
    <row r="117" spans="1:6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  <c r="F117" s="231"/>
    </row>
    <row r="118" spans="1:6" ht="12.65" customHeight="1" x14ac:dyDescent="0.35">
      <c r="A118" s="173" t="s">
        <v>1239</v>
      </c>
      <c r="B118" s="172" t="s">
        <v>256</v>
      </c>
      <c r="C118" s="189">
        <v>13</v>
      </c>
      <c r="D118" s="175"/>
      <c r="E118" s="175"/>
      <c r="F118" s="231"/>
    </row>
    <row r="119" spans="1:6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  <c r="F119" s="231"/>
    </row>
    <row r="120" spans="1:6" ht="12.65" customHeight="1" x14ac:dyDescent="0.35">
      <c r="A120" s="173" t="s">
        <v>286</v>
      </c>
      <c r="B120" s="172" t="s">
        <v>256</v>
      </c>
      <c r="C120" s="189">
        <v>16</v>
      </c>
      <c r="D120" s="175"/>
      <c r="E120" s="175"/>
      <c r="F120" s="231"/>
    </row>
    <row r="121" spans="1:6" ht="12.65" customHeight="1" x14ac:dyDescent="0.35">
      <c r="A121" s="173" t="s">
        <v>287</v>
      </c>
      <c r="B121" s="172" t="s">
        <v>256</v>
      </c>
      <c r="C121" s="189"/>
      <c r="D121" s="175"/>
      <c r="E121" s="175"/>
      <c r="F121" s="231"/>
    </row>
    <row r="122" spans="1:6" ht="12.65" customHeight="1" x14ac:dyDescent="0.35">
      <c r="A122" s="173" t="s">
        <v>97</v>
      </c>
      <c r="B122" s="172" t="s">
        <v>256</v>
      </c>
      <c r="C122" s="189">
        <v>15</v>
      </c>
      <c r="D122" s="175"/>
      <c r="E122" s="175"/>
      <c r="F122" s="231"/>
    </row>
    <row r="123" spans="1:6" ht="12.65" customHeight="1" x14ac:dyDescent="0.35">
      <c r="A123" s="173" t="s">
        <v>288</v>
      </c>
      <c r="B123" s="172" t="s">
        <v>256</v>
      </c>
      <c r="C123" s="189"/>
      <c r="D123" s="175"/>
      <c r="E123" s="175"/>
      <c r="F123" s="231"/>
    </row>
    <row r="124" spans="1:6" ht="12.65" customHeight="1" x14ac:dyDescent="0.35">
      <c r="A124" s="173" t="s">
        <v>289</v>
      </c>
      <c r="B124" s="172"/>
      <c r="C124" s="189"/>
      <c r="D124" s="175"/>
      <c r="E124" s="175"/>
      <c r="F124" s="231"/>
    </row>
    <row r="125" spans="1:6" ht="12.65" customHeight="1" x14ac:dyDescent="0.35">
      <c r="A125" s="173" t="s">
        <v>280</v>
      </c>
      <c r="B125" s="172" t="s">
        <v>256</v>
      </c>
      <c r="C125" s="189"/>
      <c r="D125" s="175"/>
      <c r="E125" s="175"/>
      <c r="F125" s="231"/>
    </row>
    <row r="126" spans="1:6" ht="12.65" customHeight="1" x14ac:dyDescent="0.35">
      <c r="A126" s="173" t="s">
        <v>290</v>
      </c>
      <c r="B126" s="172" t="s">
        <v>256</v>
      </c>
      <c r="C126" s="189"/>
      <c r="D126" s="175"/>
      <c r="E126" s="175"/>
      <c r="F126" s="231"/>
    </row>
    <row r="127" spans="1:6" ht="12.65" customHeight="1" x14ac:dyDescent="0.35">
      <c r="A127" s="173" t="s">
        <v>291</v>
      </c>
      <c r="B127" s="175"/>
      <c r="C127" s="191"/>
      <c r="D127" s="175"/>
      <c r="E127" s="175">
        <f>SUM(C116:C126)</f>
        <v>51</v>
      </c>
      <c r="F127" s="231"/>
    </row>
    <row r="128" spans="1:6" ht="12.65" customHeight="1" x14ac:dyDescent="0.35">
      <c r="A128" s="173" t="s">
        <v>292</v>
      </c>
      <c r="B128" s="172" t="s">
        <v>256</v>
      </c>
      <c r="C128" s="189">
        <v>78</v>
      </c>
      <c r="D128" s="175"/>
      <c r="E128" s="175"/>
      <c r="F128" s="231"/>
    </row>
    <row r="129" spans="1:8" ht="12.65" customHeight="1" x14ac:dyDescent="0.35">
      <c r="A129" s="173" t="s">
        <v>293</v>
      </c>
      <c r="B129" s="172" t="s">
        <v>256</v>
      </c>
      <c r="C129" s="189">
        <v>16</v>
      </c>
      <c r="D129" s="175"/>
      <c r="E129" s="175"/>
      <c r="F129" s="231"/>
    </row>
    <row r="130" spans="1:8" ht="12.65" customHeight="1" x14ac:dyDescent="0.35">
      <c r="A130" s="173"/>
      <c r="B130" s="175"/>
      <c r="C130" s="191"/>
      <c r="D130" s="175"/>
      <c r="E130" s="175"/>
      <c r="F130" s="231"/>
    </row>
    <row r="131" spans="1:8" ht="12.65" customHeight="1" x14ac:dyDescent="0.35">
      <c r="A131" s="173" t="s">
        <v>294</v>
      </c>
      <c r="B131" s="172" t="s">
        <v>256</v>
      </c>
      <c r="C131" s="189"/>
      <c r="D131" s="175"/>
      <c r="E131" s="175"/>
      <c r="F131" s="231"/>
    </row>
    <row r="132" spans="1:8" ht="12.65" customHeight="1" x14ac:dyDescent="0.35">
      <c r="A132" s="173"/>
      <c r="B132" s="173"/>
      <c r="C132" s="191"/>
      <c r="D132" s="175"/>
      <c r="E132" s="175"/>
      <c r="F132" s="231"/>
    </row>
    <row r="133" spans="1:8" ht="12.65" customHeight="1" x14ac:dyDescent="0.35">
      <c r="A133" s="173"/>
      <c r="B133" s="173"/>
      <c r="C133" s="191"/>
      <c r="D133" s="175"/>
      <c r="E133" s="175"/>
      <c r="F133" s="231"/>
    </row>
    <row r="134" spans="1:8" ht="12.65" customHeight="1" x14ac:dyDescent="0.35">
      <c r="A134" s="173"/>
      <c r="B134" s="173"/>
      <c r="C134" s="191"/>
      <c r="D134" s="175"/>
      <c r="E134" s="175"/>
      <c r="F134" s="231"/>
    </row>
    <row r="135" spans="1:8" ht="18" customHeight="1" x14ac:dyDescent="0.35">
      <c r="A135" s="173"/>
      <c r="B135" s="173"/>
      <c r="C135" s="191"/>
      <c r="D135" s="175"/>
      <c r="E135" s="175"/>
      <c r="F135" s="231"/>
    </row>
    <row r="136" spans="1:8" ht="12.65" customHeight="1" x14ac:dyDescent="0.35">
      <c r="A136" s="208" t="s">
        <v>1240</v>
      </c>
      <c r="B136" s="207"/>
      <c r="C136" s="207"/>
      <c r="D136" s="207"/>
      <c r="E136" s="207"/>
      <c r="F136" s="231"/>
    </row>
    <row r="137" spans="1:8" ht="12.65" customHeight="1" x14ac:dyDescent="0.3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  <c r="F137" s="231"/>
    </row>
    <row r="138" spans="1:8" ht="12.65" customHeight="1" x14ac:dyDescent="0.35">
      <c r="A138" s="173" t="s">
        <v>277</v>
      </c>
      <c r="B138" s="174">
        <f>163</f>
        <v>163</v>
      </c>
      <c r="C138" s="189">
        <f>485+562</f>
        <v>1047</v>
      </c>
      <c r="D138" s="174">
        <f>107+186+102+24</f>
        <v>419</v>
      </c>
      <c r="E138" s="175">
        <f>SUM(B138:D138)</f>
        <v>1629</v>
      </c>
      <c r="F138" s="231"/>
    </row>
    <row r="139" spans="1:8" ht="12.65" customHeight="1" x14ac:dyDescent="0.35">
      <c r="A139" s="173" t="s">
        <v>215</v>
      </c>
      <c r="B139" s="174">
        <f>1097</f>
        <v>1097</v>
      </c>
      <c r="C139" s="189">
        <f>4959</f>
        <v>4959</v>
      </c>
      <c r="D139" s="174">
        <v>2408</v>
      </c>
      <c r="E139" s="175">
        <f>SUM(B139:D139)</f>
        <v>8464</v>
      </c>
      <c r="F139" s="231"/>
    </row>
    <row r="140" spans="1:8" ht="12.65" customHeight="1" x14ac:dyDescent="0.35">
      <c r="A140" s="173" t="s">
        <v>298</v>
      </c>
      <c r="B140" s="174">
        <v>8870</v>
      </c>
      <c r="C140" s="174">
        <v>3292</v>
      </c>
      <c r="D140" s="174">
        <v>32248</v>
      </c>
      <c r="E140" s="175">
        <f>SUM(B140:D140)</f>
        <v>44410</v>
      </c>
      <c r="F140" s="231"/>
    </row>
    <row r="141" spans="1:8" ht="12.65" customHeight="1" x14ac:dyDescent="0.35">
      <c r="A141" s="173" t="s">
        <v>245</v>
      </c>
      <c r="B141" s="174">
        <f>9809910</f>
        <v>9809910</v>
      </c>
      <c r="C141" s="189">
        <f>25606931</f>
        <v>25606931</v>
      </c>
      <c r="D141" s="174">
        <f>10138411</f>
        <v>10138411</v>
      </c>
      <c r="E141" s="175">
        <f>SUM(B141:D141)</f>
        <v>45555252</v>
      </c>
      <c r="F141" s="291"/>
      <c r="G141" s="290"/>
      <c r="H141" s="290"/>
    </row>
    <row r="142" spans="1:8" ht="12.65" customHeight="1" x14ac:dyDescent="0.35">
      <c r="A142" s="173" t="s">
        <v>246</v>
      </c>
      <c r="B142" s="174">
        <f>11157599</f>
        <v>11157599</v>
      </c>
      <c r="C142" s="189">
        <f>47244648</f>
        <v>47244648</v>
      </c>
      <c r="D142" s="174">
        <f>38205797</f>
        <v>38205797</v>
      </c>
      <c r="E142" s="175">
        <f>SUM(B142:D142)</f>
        <v>96608044</v>
      </c>
      <c r="F142" s="291"/>
      <c r="G142" s="290"/>
      <c r="H142" s="290"/>
    </row>
    <row r="143" spans="1:8" ht="12.65" customHeight="1" x14ac:dyDescent="0.3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  <c r="F143" s="231"/>
    </row>
    <row r="144" spans="1:8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  <c r="F144" s="231"/>
    </row>
    <row r="145" spans="1:6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  <c r="F145" s="231"/>
    </row>
    <row r="146" spans="1:6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  <c r="F146" s="231"/>
    </row>
    <row r="147" spans="1:6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  <c r="F147" s="231"/>
    </row>
    <row r="148" spans="1:6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  <c r="F148" s="231"/>
    </row>
    <row r="149" spans="1:6" ht="12.65" customHeight="1" x14ac:dyDescent="0.3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  <c r="F149" s="231"/>
    </row>
    <row r="150" spans="1:6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  <c r="F150" s="231"/>
    </row>
    <row r="151" spans="1:6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  <c r="F151" s="231"/>
    </row>
    <row r="152" spans="1:6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  <c r="F152" s="231"/>
    </row>
    <row r="153" spans="1:6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  <c r="F153" s="231"/>
    </row>
    <row r="154" spans="1:6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  <c r="F154" s="231"/>
    </row>
    <row r="155" spans="1:6" ht="12.65" customHeight="1" x14ac:dyDescent="0.35">
      <c r="A155" s="177"/>
      <c r="B155" s="177"/>
      <c r="C155" s="193"/>
      <c r="D155" s="178"/>
      <c r="E155" s="175"/>
      <c r="F155" s="231"/>
    </row>
    <row r="156" spans="1:6" ht="12.65" customHeight="1" x14ac:dyDescent="0.35">
      <c r="A156" s="257" t="s">
        <v>301</v>
      </c>
      <c r="B156" s="176" t="s">
        <v>302</v>
      </c>
      <c r="C156" s="192" t="s">
        <v>303</v>
      </c>
      <c r="D156" s="175"/>
      <c r="E156" s="175"/>
      <c r="F156" s="231"/>
    </row>
    <row r="157" spans="1:6" ht="12.65" customHeight="1" x14ac:dyDescent="0.35">
      <c r="A157" s="177" t="s">
        <v>304</v>
      </c>
      <c r="B157" s="174"/>
      <c r="C157" s="174"/>
      <c r="D157" s="175"/>
      <c r="E157" s="175"/>
      <c r="F157" s="231"/>
    </row>
    <row r="158" spans="1:6" ht="12.65" customHeight="1" x14ac:dyDescent="0.35">
      <c r="A158" s="177"/>
      <c r="B158" s="178"/>
      <c r="C158" s="193"/>
      <c r="D158" s="175"/>
      <c r="E158" s="175"/>
      <c r="F158" s="231"/>
    </row>
    <row r="159" spans="1:6" ht="12.65" customHeight="1" x14ac:dyDescent="0.35">
      <c r="A159" s="177"/>
      <c r="B159" s="177"/>
      <c r="C159" s="193"/>
      <c r="D159" s="178"/>
      <c r="E159" s="175"/>
      <c r="F159" s="231"/>
    </row>
    <row r="160" spans="1:6" ht="12.65" customHeight="1" x14ac:dyDescent="0.35">
      <c r="A160" s="177"/>
      <c r="B160" s="177"/>
      <c r="C160" s="193"/>
      <c r="D160" s="178"/>
      <c r="E160" s="175"/>
      <c r="F160" s="231"/>
    </row>
    <row r="161" spans="1:6" ht="12.65" customHeight="1" x14ac:dyDescent="0.35">
      <c r="A161" s="177"/>
      <c r="B161" s="177"/>
      <c r="C161" s="193"/>
      <c r="D161" s="178"/>
      <c r="E161" s="175"/>
      <c r="F161" s="231"/>
    </row>
    <row r="162" spans="1:6" ht="21.75" customHeight="1" x14ac:dyDescent="0.35">
      <c r="A162" s="177"/>
      <c r="B162" s="177"/>
      <c r="C162" s="193"/>
      <c r="D162" s="178"/>
      <c r="E162" s="175"/>
      <c r="F162" s="231"/>
    </row>
    <row r="163" spans="1:6" ht="11.5" customHeight="1" x14ac:dyDescent="0.35">
      <c r="A163" s="207" t="s">
        <v>305</v>
      </c>
      <c r="B163" s="208"/>
      <c r="C163" s="208"/>
      <c r="D163" s="208"/>
      <c r="E163" s="208"/>
      <c r="F163" s="231"/>
    </row>
    <row r="164" spans="1:6" ht="11.5" customHeight="1" x14ac:dyDescent="0.35">
      <c r="A164" s="256" t="s">
        <v>306</v>
      </c>
      <c r="B164" s="256"/>
      <c r="C164" s="256"/>
      <c r="D164" s="256"/>
      <c r="E164" s="256"/>
      <c r="F164" s="231"/>
    </row>
    <row r="165" spans="1:6" ht="11.5" customHeight="1" x14ac:dyDescent="0.35">
      <c r="A165" s="173" t="s">
        <v>307</v>
      </c>
      <c r="B165" s="172" t="s">
        <v>256</v>
      </c>
      <c r="C165" s="189">
        <v>1120692.74</v>
      </c>
      <c r="D165" s="175"/>
      <c r="E165" s="175"/>
      <c r="F165" s="231"/>
    </row>
    <row r="166" spans="1:6" ht="11.5" customHeight="1" x14ac:dyDescent="0.35">
      <c r="A166" s="173" t="s">
        <v>308</v>
      </c>
      <c r="B166" s="172" t="s">
        <v>256</v>
      </c>
      <c r="C166" s="189">
        <f>85325.37</f>
        <v>85325.37</v>
      </c>
      <c r="D166" s="175"/>
      <c r="E166" s="175"/>
      <c r="F166" s="231"/>
    </row>
    <row r="167" spans="1:6" ht="11.5" customHeight="1" x14ac:dyDescent="0.35">
      <c r="A167" s="177" t="s">
        <v>309</v>
      </c>
      <c r="B167" s="172" t="s">
        <v>256</v>
      </c>
      <c r="C167" s="189">
        <f>3176559.38</f>
        <v>3176559.38</v>
      </c>
      <c r="D167" s="175"/>
      <c r="E167" s="175"/>
      <c r="F167" s="231"/>
    </row>
    <row r="168" spans="1:6" ht="11.5" customHeight="1" x14ac:dyDescent="0.35">
      <c r="A168" s="173" t="s">
        <v>310</v>
      </c>
      <c r="B168" s="172" t="s">
        <v>256</v>
      </c>
      <c r="C168" s="189">
        <f>-2345423.56</f>
        <v>-2345423.56</v>
      </c>
      <c r="D168" s="175"/>
      <c r="E168" s="175"/>
      <c r="F168" s="231"/>
    </row>
    <row r="169" spans="1:6" ht="11.5" customHeight="1" x14ac:dyDescent="0.35">
      <c r="A169" s="173" t="s">
        <v>311</v>
      </c>
      <c r="B169" s="172" t="s">
        <v>256</v>
      </c>
      <c r="C169" s="189"/>
      <c r="D169" s="175"/>
      <c r="E169" s="175"/>
      <c r="F169" s="231"/>
    </row>
    <row r="170" spans="1:6" ht="11.5" customHeight="1" x14ac:dyDescent="0.35">
      <c r="A170" s="173" t="s">
        <v>312</v>
      </c>
      <c r="B170" s="172" t="s">
        <v>256</v>
      </c>
      <c r="C170" s="189">
        <v>454731.45</v>
      </c>
      <c r="D170" s="175"/>
      <c r="E170" s="175"/>
      <c r="F170" s="231"/>
    </row>
    <row r="171" spans="1:6" ht="11.5" customHeight="1" x14ac:dyDescent="0.35">
      <c r="A171" s="173" t="s">
        <v>313</v>
      </c>
      <c r="B171" s="172" t="s">
        <v>256</v>
      </c>
      <c r="C171" s="189"/>
      <c r="D171" s="175"/>
      <c r="E171" s="175"/>
      <c r="F171" s="231"/>
    </row>
    <row r="172" spans="1:6" ht="11.5" customHeight="1" x14ac:dyDescent="0.35">
      <c r="A172" s="173" t="s">
        <v>313</v>
      </c>
      <c r="B172" s="172" t="s">
        <v>256</v>
      </c>
      <c r="C172" s="189"/>
      <c r="D172" s="175"/>
      <c r="E172" s="175"/>
      <c r="F172" s="231"/>
    </row>
    <row r="173" spans="1:6" ht="11.5" customHeight="1" x14ac:dyDescent="0.35">
      <c r="A173" s="173" t="s">
        <v>203</v>
      </c>
      <c r="B173" s="175"/>
      <c r="C173" s="191"/>
      <c r="D173" s="175">
        <f>SUM(C165:C172)</f>
        <v>2491885.3800000004</v>
      </c>
      <c r="E173" s="175"/>
      <c r="F173" s="231"/>
    </row>
    <row r="174" spans="1:6" ht="11.5" customHeight="1" x14ac:dyDescent="0.35">
      <c r="A174" s="256" t="s">
        <v>314</v>
      </c>
      <c r="B174" s="256"/>
      <c r="C174" s="256"/>
      <c r="D174" s="256"/>
      <c r="E174" s="256"/>
      <c r="F174" s="231"/>
    </row>
    <row r="175" spans="1:6" ht="11.5" customHeight="1" x14ac:dyDescent="0.35">
      <c r="A175" s="173" t="s">
        <v>315</v>
      </c>
      <c r="B175" s="172" t="s">
        <v>256</v>
      </c>
      <c r="C175" s="189">
        <v>371023.7</v>
      </c>
      <c r="D175" s="175"/>
      <c r="E175" s="175"/>
      <c r="F175" s="231"/>
    </row>
    <row r="176" spans="1:6" ht="11.5" customHeight="1" x14ac:dyDescent="0.35">
      <c r="A176" s="173" t="s">
        <v>316</v>
      </c>
      <c r="B176" s="172" t="s">
        <v>256</v>
      </c>
      <c r="C176" s="189">
        <v>19630</v>
      </c>
      <c r="D176" s="175"/>
      <c r="E176" s="175"/>
      <c r="F176" s="231"/>
    </row>
    <row r="177" spans="1:6" ht="11.5" customHeight="1" x14ac:dyDescent="0.35">
      <c r="A177" s="173" t="s">
        <v>203</v>
      </c>
      <c r="B177" s="175"/>
      <c r="C177" s="191"/>
      <c r="D177" s="175">
        <f>SUM(C175:C176)</f>
        <v>390653.7</v>
      </c>
      <c r="E177" s="175"/>
      <c r="F177" s="231"/>
    </row>
    <row r="178" spans="1:6" ht="11.5" customHeight="1" x14ac:dyDescent="0.35">
      <c r="A178" s="256" t="s">
        <v>317</v>
      </c>
      <c r="B178" s="256"/>
      <c r="C178" s="256"/>
      <c r="D178" s="256"/>
      <c r="E178" s="256"/>
      <c r="F178" s="231"/>
    </row>
    <row r="179" spans="1:6" ht="11.5" customHeight="1" x14ac:dyDescent="0.35">
      <c r="A179" s="173" t="s">
        <v>318</v>
      </c>
      <c r="B179" s="172" t="s">
        <v>256</v>
      </c>
      <c r="C179" s="189">
        <f>70740.13</f>
        <v>70740.13</v>
      </c>
      <c r="D179" s="175"/>
      <c r="E179" s="175"/>
      <c r="F179" s="231"/>
    </row>
    <row r="180" spans="1:6" ht="11.5" customHeight="1" x14ac:dyDescent="0.35">
      <c r="A180" s="173" t="s">
        <v>319</v>
      </c>
      <c r="B180" s="172" t="s">
        <v>256</v>
      </c>
      <c r="C180" s="189">
        <f>106772.71</f>
        <v>106772.71</v>
      </c>
      <c r="D180" s="175"/>
      <c r="E180" s="175"/>
      <c r="F180" s="231"/>
    </row>
    <row r="181" spans="1:6" ht="11.5" customHeight="1" x14ac:dyDescent="0.35">
      <c r="A181" s="173" t="s">
        <v>203</v>
      </c>
      <c r="B181" s="175"/>
      <c r="C181" s="191"/>
      <c r="D181" s="175">
        <f>SUM(C179:C180)</f>
        <v>177512.84000000003</v>
      </c>
      <c r="E181" s="175"/>
      <c r="F181" s="231"/>
    </row>
    <row r="182" spans="1:6" ht="11.5" customHeight="1" x14ac:dyDescent="0.35">
      <c r="A182" s="256" t="s">
        <v>320</v>
      </c>
      <c r="B182" s="256"/>
      <c r="C182" s="256"/>
      <c r="D182" s="256"/>
      <c r="E182" s="256"/>
      <c r="F182" s="231"/>
    </row>
    <row r="183" spans="1:6" ht="11.5" customHeight="1" x14ac:dyDescent="0.35">
      <c r="A183" s="173" t="s">
        <v>321</v>
      </c>
      <c r="B183" s="172" t="s">
        <v>256</v>
      </c>
      <c r="C183" s="189"/>
      <c r="D183" s="175"/>
      <c r="E183" s="175"/>
      <c r="F183" s="231"/>
    </row>
    <row r="184" spans="1:6" ht="11.5" customHeight="1" x14ac:dyDescent="0.35">
      <c r="A184" s="173" t="s">
        <v>322</v>
      </c>
      <c r="B184" s="172" t="s">
        <v>256</v>
      </c>
      <c r="C184" s="189">
        <v>42244.13</v>
      </c>
      <c r="D184" s="175"/>
      <c r="E184" s="175"/>
      <c r="F184" s="231"/>
    </row>
    <row r="185" spans="1:6" ht="11.5" customHeight="1" x14ac:dyDescent="0.35">
      <c r="A185" s="173" t="s">
        <v>132</v>
      </c>
      <c r="B185" s="172" t="s">
        <v>256</v>
      </c>
      <c r="C185" s="189">
        <f>1028446.75</f>
        <v>1028446.75</v>
      </c>
      <c r="D185" s="175"/>
      <c r="E185" s="175"/>
      <c r="F185" s="231"/>
    </row>
    <row r="186" spans="1:6" ht="11.5" customHeight="1" x14ac:dyDescent="0.35">
      <c r="A186" s="173" t="s">
        <v>203</v>
      </c>
      <c r="B186" s="175"/>
      <c r="C186" s="191"/>
      <c r="D186" s="175">
        <f>SUM(C183:C185)</f>
        <v>1070690.8799999999</v>
      </c>
      <c r="E186" s="175"/>
      <c r="F186" s="231"/>
    </row>
    <row r="187" spans="1:6" ht="11.5" customHeight="1" x14ac:dyDescent="0.35">
      <c r="A187" s="256" t="s">
        <v>323</v>
      </c>
      <c r="B187" s="256"/>
      <c r="C187" s="256"/>
      <c r="D187" s="256"/>
      <c r="E187" s="256"/>
      <c r="F187" s="231"/>
    </row>
    <row r="188" spans="1:6" ht="11.5" customHeight="1" x14ac:dyDescent="0.35">
      <c r="A188" s="173" t="s">
        <v>324</v>
      </c>
      <c r="B188" s="172" t="s">
        <v>256</v>
      </c>
      <c r="C188" s="189"/>
      <c r="D188" s="175"/>
      <c r="E188" s="175"/>
      <c r="F188" s="231"/>
    </row>
    <row r="189" spans="1:6" ht="11.5" customHeight="1" x14ac:dyDescent="0.35">
      <c r="A189" s="173" t="s">
        <v>325</v>
      </c>
      <c r="B189" s="172" t="s">
        <v>256</v>
      </c>
      <c r="C189" s="189">
        <f>1328422.83</f>
        <v>1328422.83</v>
      </c>
      <c r="D189" s="175"/>
      <c r="E189" s="175"/>
      <c r="F189" s="231"/>
    </row>
    <row r="190" spans="1:6" ht="11.5" customHeight="1" x14ac:dyDescent="0.35">
      <c r="A190" s="173" t="s">
        <v>203</v>
      </c>
      <c r="B190" s="175"/>
      <c r="C190" s="191"/>
      <c r="D190" s="175">
        <f>SUM(C188:C189)</f>
        <v>1328422.83</v>
      </c>
      <c r="E190" s="175"/>
      <c r="F190" s="231"/>
    </row>
    <row r="191" spans="1:6" ht="18" customHeight="1" x14ac:dyDescent="0.35">
      <c r="A191" s="173"/>
      <c r="B191" s="175"/>
      <c r="C191" s="191"/>
      <c r="D191" s="175"/>
      <c r="E191" s="175"/>
      <c r="F191" s="231"/>
    </row>
    <row r="192" spans="1:6" ht="12.65" customHeight="1" x14ac:dyDescent="0.35">
      <c r="A192" s="208" t="s">
        <v>326</v>
      </c>
      <c r="B192" s="208"/>
      <c r="C192" s="208"/>
      <c r="D192" s="208"/>
      <c r="E192" s="208"/>
      <c r="F192" s="231"/>
    </row>
    <row r="193" spans="1:8" ht="12.65" customHeight="1" x14ac:dyDescent="0.35">
      <c r="A193" s="207" t="s">
        <v>327</v>
      </c>
      <c r="B193" s="208"/>
      <c r="C193" s="208"/>
      <c r="D193" s="208"/>
      <c r="E193" s="208"/>
      <c r="F193" s="231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  <c r="F194" s="231"/>
    </row>
    <row r="195" spans="1:8" ht="12.65" customHeight="1" x14ac:dyDescent="0.35">
      <c r="A195" s="173" t="s">
        <v>332</v>
      </c>
      <c r="B195" s="174">
        <f>550000</f>
        <v>550000</v>
      </c>
      <c r="C195" s="189"/>
      <c r="D195" s="174"/>
      <c r="E195" s="175">
        <f t="shared" ref="E195:E203" si="10">SUM(B195:C195)-D195</f>
        <v>550000</v>
      </c>
      <c r="F195" s="231"/>
    </row>
    <row r="196" spans="1:8" ht="12.65" customHeight="1" x14ac:dyDescent="0.35">
      <c r="A196" s="173" t="s">
        <v>333</v>
      </c>
      <c r="B196" s="174">
        <f>26953</f>
        <v>26953</v>
      </c>
      <c r="C196" s="189"/>
      <c r="D196" s="174"/>
      <c r="E196" s="175">
        <f t="shared" si="10"/>
        <v>26953</v>
      </c>
      <c r="F196" s="231"/>
    </row>
    <row r="197" spans="1:8" ht="12.65" customHeight="1" x14ac:dyDescent="0.35">
      <c r="A197" s="173" t="s">
        <v>334</v>
      </c>
      <c r="B197" s="174">
        <f>6744017</f>
        <v>6744017</v>
      </c>
      <c r="C197" s="189">
        <f>1214241.7</f>
        <v>1214241.7</v>
      </c>
      <c r="D197" s="174"/>
      <c r="E197" s="175">
        <f t="shared" si="10"/>
        <v>7958258.7000000002</v>
      </c>
      <c r="F197" s="231"/>
    </row>
    <row r="198" spans="1:8" ht="12.65" customHeight="1" x14ac:dyDescent="0.35">
      <c r="A198" s="173" t="s">
        <v>335</v>
      </c>
      <c r="B198" s="174">
        <f>82397</f>
        <v>82397</v>
      </c>
      <c r="C198" s="189">
        <f>282774.96</f>
        <v>282774.96000000002</v>
      </c>
      <c r="D198" s="174"/>
      <c r="E198" s="175">
        <f t="shared" si="10"/>
        <v>365171.96</v>
      </c>
      <c r="F198" s="231"/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  <c r="F199" s="231"/>
    </row>
    <row r="200" spans="1:8" ht="12.65" customHeight="1" x14ac:dyDescent="0.35">
      <c r="A200" s="173" t="s">
        <v>337</v>
      </c>
      <c r="B200" s="174">
        <f>1595897</f>
        <v>1595897</v>
      </c>
      <c r="C200" s="189">
        <f>-280257.42</f>
        <v>-280257.42</v>
      </c>
      <c r="D200" s="174"/>
      <c r="E200" s="175">
        <f t="shared" si="10"/>
        <v>1315639.58</v>
      </c>
      <c r="F200" s="231"/>
    </row>
    <row r="201" spans="1:8" ht="12.65" customHeight="1" x14ac:dyDescent="0.35">
      <c r="A201" s="173" t="s">
        <v>338</v>
      </c>
      <c r="B201" s="174">
        <f>233940</f>
        <v>233940</v>
      </c>
      <c r="C201" s="189">
        <v>154136.13</v>
      </c>
      <c r="D201" s="174"/>
      <c r="E201" s="175">
        <f t="shared" si="10"/>
        <v>388076.13</v>
      </c>
      <c r="F201" s="231"/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  <c r="F202" s="231"/>
    </row>
    <row r="203" spans="1:8" ht="12.65" customHeight="1" x14ac:dyDescent="0.35">
      <c r="A203" s="173" t="s">
        <v>340</v>
      </c>
      <c r="B203" s="174">
        <f>1207200</f>
        <v>1207200</v>
      </c>
      <c r="C203" s="189">
        <f>-1152123.1</f>
        <v>-1152123.1000000001</v>
      </c>
      <c r="D203" s="174"/>
      <c r="E203" s="175">
        <f t="shared" si="10"/>
        <v>55076.899999999907</v>
      </c>
      <c r="F203" s="231"/>
    </row>
    <row r="204" spans="1:8" ht="12.65" customHeight="1" x14ac:dyDescent="0.35">
      <c r="A204" s="173" t="s">
        <v>203</v>
      </c>
      <c r="B204" s="175">
        <f>SUM(B195:B203)</f>
        <v>10440404</v>
      </c>
      <c r="C204" s="191">
        <f>SUM(C195:C203)</f>
        <v>218772.27000000002</v>
      </c>
      <c r="D204" s="175">
        <f>SUM(D195:D203)</f>
        <v>0</v>
      </c>
      <c r="E204" s="175">
        <f>SUM(E195:E203)</f>
        <v>10659176.270000001</v>
      </c>
      <c r="F204" s="231"/>
    </row>
    <row r="205" spans="1:8" ht="12.65" customHeight="1" x14ac:dyDescent="0.35">
      <c r="A205" s="173"/>
      <c r="B205" s="173"/>
      <c r="C205" s="191"/>
      <c r="D205" s="175"/>
      <c r="E205" s="175"/>
      <c r="F205" s="231"/>
    </row>
    <row r="206" spans="1:8" ht="12.65" customHeight="1" x14ac:dyDescent="0.35">
      <c r="A206" s="207" t="s">
        <v>341</v>
      </c>
      <c r="B206" s="207"/>
      <c r="C206" s="207"/>
      <c r="D206" s="207"/>
      <c r="E206" s="207"/>
      <c r="F206" s="231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F207" s="231"/>
      <c r="H207" s="258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F208" s="231"/>
      <c r="H208" s="258"/>
    </row>
    <row r="209" spans="1:8" ht="12.65" customHeight="1" x14ac:dyDescent="0.35">
      <c r="A209" s="173" t="s">
        <v>333</v>
      </c>
      <c r="B209" s="174">
        <f>863</f>
        <v>863</v>
      </c>
      <c r="C209" s="189">
        <v>1221.1400000000001</v>
      </c>
      <c r="D209" s="174"/>
      <c r="E209" s="175">
        <f t="shared" ref="E209:E216" si="11">SUM(B209:C209)-D209</f>
        <v>2084.1400000000003</v>
      </c>
      <c r="F209" s="231"/>
      <c r="H209" s="258"/>
    </row>
    <row r="210" spans="1:8" ht="12.65" customHeight="1" x14ac:dyDescent="0.35">
      <c r="A210" s="173" t="s">
        <v>334</v>
      </c>
      <c r="B210" s="174">
        <f>1043497</f>
        <v>1043497</v>
      </c>
      <c r="C210" s="189">
        <f>319714.58</f>
        <v>319714.58</v>
      </c>
      <c r="D210" s="174"/>
      <c r="E210" s="175">
        <f t="shared" si="11"/>
        <v>1363211.58</v>
      </c>
      <c r="F210" s="231"/>
      <c r="H210" s="258"/>
    </row>
    <row r="211" spans="1:8" ht="12.65" customHeight="1" x14ac:dyDescent="0.35">
      <c r="A211" s="173" t="s">
        <v>335</v>
      </c>
      <c r="B211" s="174"/>
      <c r="C211" s="189">
        <v>284578.89</v>
      </c>
      <c r="D211" s="174"/>
      <c r="E211" s="175">
        <f t="shared" si="11"/>
        <v>284578.89</v>
      </c>
      <c r="F211" s="231"/>
      <c r="H211" s="258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F212" s="231"/>
      <c r="H212" s="258"/>
    </row>
    <row r="213" spans="1:8" ht="12.65" customHeight="1" x14ac:dyDescent="0.35">
      <c r="A213" s="173" t="s">
        <v>337</v>
      </c>
      <c r="B213" s="174">
        <f>991448</f>
        <v>991448</v>
      </c>
      <c r="C213" s="189">
        <f>-250511.46</f>
        <v>-250511.46</v>
      </c>
      <c r="D213" s="174"/>
      <c r="E213" s="175">
        <f t="shared" si="11"/>
        <v>740936.54</v>
      </c>
      <c r="F213" s="231"/>
      <c r="H213" s="258"/>
    </row>
    <row r="214" spans="1:8" ht="12.65" customHeight="1" x14ac:dyDescent="0.35">
      <c r="A214" s="173" t="s">
        <v>338</v>
      </c>
      <c r="B214" s="174">
        <f>-71606.3+43229.4</f>
        <v>-28376.9</v>
      </c>
      <c r="C214" s="189">
        <f>198477.02-10</f>
        <v>198467.02</v>
      </c>
      <c r="D214" s="174"/>
      <c r="E214" s="175">
        <f t="shared" si="11"/>
        <v>170090.12</v>
      </c>
      <c r="F214" s="231"/>
      <c r="H214" s="258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F215" s="231"/>
      <c r="H215" s="258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F216" s="231"/>
      <c r="H216" s="258"/>
    </row>
    <row r="217" spans="1:8" ht="12.65" customHeight="1" x14ac:dyDescent="0.35">
      <c r="A217" s="173" t="s">
        <v>203</v>
      </c>
      <c r="B217" s="175">
        <f>SUM(B208:B216)</f>
        <v>2007431.1</v>
      </c>
      <c r="C217" s="191">
        <f>SUM(C208:C216)</f>
        <v>553470.17000000016</v>
      </c>
      <c r="D217" s="175">
        <f>SUM(D208:D216)</f>
        <v>0</v>
      </c>
      <c r="E217" s="175">
        <f>SUM(E208:E216)</f>
        <v>2560901.27</v>
      </c>
      <c r="F217" s="231"/>
    </row>
    <row r="218" spans="1:8" ht="21.75" customHeight="1" x14ac:dyDescent="0.35">
      <c r="A218" s="173"/>
      <c r="B218" s="175"/>
      <c r="C218" s="191"/>
      <c r="D218" s="175"/>
      <c r="E218" s="175"/>
      <c r="F218" s="231"/>
    </row>
    <row r="219" spans="1:8" ht="12.65" customHeight="1" x14ac:dyDescent="0.35">
      <c r="A219" s="208" t="s">
        <v>342</v>
      </c>
      <c r="B219" s="208"/>
      <c r="C219" s="208"/>
      <c r="D219" s="208"/>
      <c r="E219" s="208"/>
      <c r="F219" s="231"/>
    </row>
    <row r="220" spans="1:8" ht="12.65" customHeight="1" x14ac:dyDescent="0.35">
      <c r="A220" s="208"/>
      <c r="B220" s="296" t="s">
        <v>1255</v>
      </c>
      <c r="C220" s="296"/>
      <c r="D220" s="208"/>
      <c r="E220" s="208"/>
      <c r="F220" s="231"/>
    </row>
    <row r="221" spans="1:8" ht="12.65" customHeight="1" x14ac:dyDescent="0.35">
      <c r="A221" s="269" t="s">
        <v>1255</v>
      </c>
      <c r="B221" s="208"/>
      <c r="C221" s="189">
        <f>3852695</f>
        <v>3852695</v>
      </c>
      <c r="D221" s="172">
        <f>C221</f>
        <v>3852695</v>
      </c>
      <c r="E221" s="208"/>
      <c r="F221" s="231"/>
    </row>
    <row r="222" spans="1:8" ht="12.65" customHeight="1" x14ac:dyDescent="0.35">
      <c r="A222" s="256" t="s">
        <v>343</v>
      </c>
      <c r="B222" s="256"/>
      <c r="C222" s="256"/>
      <c r="D222" s="256"/>
      <c r="E222" s="256"/>
      <c r="F222" s="231"/>
    </row>
    <row r="223" spans="1:8" ht="12.65" customHeight="1" x14ac:dyDescent="0.35">
      <c r="A223" s="173" t="s">
        <v>344</v>
      </c>
      <c r="B223" s="172" t="s">
        <v>256</v>
      </c>
      <c r="C223" s="189">
        <f>14833948</f>
        <v>14833948</v>
      </c>
      <c r="D223" s="175"/>
      <c r="E223" s="175"/>
      <c r="F223" s="231"/>
    </row>
    <row r="224" spans="1:8" ht="12.65" customHeight="1" x14ac:dyDescent="0.35">
      <c r="A224" s="173" t="s">
        <v>345</v>
      </c>
      <c r="B224" s="172" t="s">
        <v>256</v>
      </c>
      <c r="C224" s="189">
        <f>51540531</f>
        <v>51540531</v>
      </c>
      <c r="D224" s="175"/>
      <c r="E224" s="175"/>
      <c r="F224" s="231"/>
    </row>
    <row r="225" spans="1:9" ht="12.65" customHeight="1" x14ac:dyDescent="0.35">
      <c r="A225" s="173" t="s">
        <v>346</v>
      </c>
      <c r="B225" s="172" t="s">
        <v>256</v>
      </c>
      <c r="C225" s="189"/>
      <c r="D225" s="175"/>
      <c r="E225" s="175"/>
      <c r="F225" s="231"/>
    </row>
    <row r="226" spans="1:9" ht="12.65" customHeight="1" x14ac:dyDescent="0.35">
      <c r="A226" s="173" t="s">
        <v>347</v>
      </c>
      <c r="B226" s="172" t="s">
        <v>256</v>
      </c>
      <c r="C226" s="189"/>
      <c r="D226" s="175"/>
      <c r="E226" s="175"/>
      <c r="F226" s="231"/>
    </row>
    <row r="227" spans="1:9" ht="12.65" customHeight="1" x14ac:dyDescent="0.35">
      <c r="A227" s="173" t="s">
        <v>348</v>
      </c>
      <c r="B227" s="172" t="s">
        <v>256</v>
      </c>
      <c r="C227" s="189"/>
      <c r="D227" s="175"/>
      <c r="E227" s="175"/>
      <c r="F227" s="231"/>
    </row>
    <row r="228" spans="1:9" ht="12.65" customHeight="1" x14ac:dyDescent="0.35">
      <c r="A228" s="173" t="s">
        <v>349</v>
      </c>
      <c r="B228" s="172" t="s">
        <v>256</v>
      </c>
      <c r="C228" s="189">
        <f>34202226</f>
        <v>34202226</v>
      </c>
      <c r="D228" s="175"/>
      <c r="E228" s="175"/>
      <c r="F228" s="231"/>
    </row>
    <row r="229" spans="1:9" ht="12.65" customHeight="1" x14ac:dyDescent="0.35">
      <c r="A229" s="173" t="s">
        <v>350</v>
      </c>
      <c r="B229" s="175"/>
      <c r="C229" s="191"/>
      <c r="D229" s="175">
        <f>SUM(C223:C228)</f>
        <v>100576705</v>
      </c>
      <c r="E229" s="175"/>
      <c r="F229" s="231"/>
    </row>
    <row r="230" spans="1:9" ht="12.65" customHeight="1" x14ac:dyDescent="0.35">
      <c r="A230" s="256" t="s">
        <v>351</v>
      </c>
      <c r="B230" s="256"/>
      <c r="C230" s="256"/>
      <c r="D230" s="256"/>
      <c r="E230" s="256"/>
      <c r="F230" s="231"/>
    </row>
    <row r="231" spans="1:9" ht="12.65" customHeight="1" x14ac:dyDescent="0.35">
      <c r="A231" s="171" t="s">
        <v>352</v>
      </c>
      <c r="B231" s="172" t="s">
        <v>256</v>
      </c>
      <c r="C231" s="189"/>
      <c r="D231" s="175"/>
      <c r="E231" s="175"/>
      <c r="F231" s="231"/>
      <c r="G231" s="293"/>
      <c r="H231" s="293"/>
      <c r="I231" s="293"/>
    </row>
    <row r="232" spans="1:9" ht="12.65" customHeight="1" x14ac:dyDescent="0.35">
      <c r="A232" s="171"/>
      <c r="B232" s="172"/>
      <c r="C232" s="191"/>
      <c r="D232" s="175"/>
      <c r="E232" s="175"/>
      <c r="F232" s="231"/>
      <c r="G232" s="293"/>
      <c r="H232" s="293"/>
      <c r="I232" s="293"/>
    </row>
    <row r="233" spans="1:9" ht="12.65" customHeight="1" x14ac:dyDescent="0.35">
      <c r="A233" s="171" t="s">
        <v>353</v>
      </c>
      <c r="B233" s="172" t="s">
        <v>256</v>
      </c>
      <c r="C233" s="189">
        <f>614309</f>
        <v>614309</v>
      </c>
      <c r="D233" s="175"/>
      <c r="E233" s="175"/>
      <c r="F233" s="231"/>
      <c r="G233" s="294"/>
      <c r="H233" s="295"/>
      <c r="I233" s="294"/>
    </row>
    <row r="234" spans="1:9" ht="12.65" customHeight="1" x14ac:dyDescent="0.35">
      <c r="A234" s="171" t="s">
        <v>354</v>
      </c>
      <c r="B234" s="172" t="s">
        <v>256</v>
      </c>
      <c r="C234" s="189"/>
      <c r="D234" s="175"/>
      <c r="E234" s="175"/>
      <c r="F234" s="231"/>
      <c r="G234" s="294"/>
      <c r="H234" s="295"/>
      <c r="I234" s="294"/>
    </row>
    <row r="235" spans="1:9" ht="12.65" customHeight="1" x14ac:dyDescent="0.35">
      <c r="A235" s="173"/>
      <c r="B235" s="175"/>
      <c r="C235" s="191"/>
      <c r="D235" s="175"/>
      <c r="E235" s="175"/>
      <c r="F235" s="231"/>
      <c r="G235" s="293"/>
      <c r="H235" s="293"/>
      <c r="I235" s="293"/>
    </row>
    <row r="236" spans="1:9" ht="12.65" customHeight="1" x14ac:dyDescent="0.35">
      <c r="A236" s="171" t="s">
        <v>355</v>
      </c>
      <c r="B236" s="175"/>
      <c r="C236" s="191"/>
      <c r="D236" s="175">
        <f>SUM(C233:C235)</f>
        <v>614309</v>
      </c>
      <c r="E236" s="175"/>
      <c r="F236" s="231"/>
    </row>
    <row r="237" spans="1:9" ht="12.65" customHeight="1" x14ac:dyDescent="0.35">
      <c r="A237" s="256" t="s">
        <v>356</v>
      </c>
      <c r="B237" s="256"/>
      <c r="C237" s="256"/>
      <c r="D237" s="256"/>
      <c r="E237" s="256"/>
      <c r="F237" s="231"/>
    </row>
    <row r="238" spans="1:9" ht="12.65" customHeight="1" x14ac:dyDescent="0.35">
      <c r="A238" s="173" t="s">
        <v>357</v>
      </c>
      <c r="B238" s="172" t="s">
        <v>256</v>
      </c>
      <c r="C238" s="189"/>
      <c r="D238" s="175"/>
      <c r="E238" s="175"/>
      <c r="F238" s="231"/>
    </row>
    <row r="239" spans="1:9" ht="12.65" customHeight="1" x14ac:dyDescent="0.35">
      <c r="A239" s="173" t="s">
        <v>356</v>
      </c>
      <c r="B239" s="172" t="s">
        <v>256</v>
      </c>
      <c r="C239" s="189"/>
      <c r="D239" s="175"/>
      <c r="E239" s="175"/>
      <c r="F239" s="231"/>
      <c r="G239" s="290"/>
      <c r="H239" s="290"/>
      <c r="I239" s="290"/>
    </row>
    <row r="240" spans="1:9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  <c r="F240" s="231"/>
    </row>
    <row r="241" spans="1:9" ht="12.65" customHeight="1" x14ac:dyDescent="0.35">
      <c r="A241" s="173"/>
      <c r="B241" s="175"/>
      <c r="C241" s="191"/>
      <c r="D241" s="175"/>
      <c r="E241" s="175"/>
      <c r="F241" s="231"/>
    </row>
    <row r="242" spans="1:9" ht="12.65" customHeight="1" x14ac:dyDescent="0.35">
      <c r="A242" s="173" t="s">
        <v>359</v>
      </c>
      <c r="B242" s="175"/>
      <c r="C242" s="191"/>
      <c r="D242" s="175">
        <f>D221+D229+D236+D240</f>
        <v>105043709</v>
      </c>
      <c r="E242" s="175"/>
      <c r="F242" s="231"/>
    </row>
    <row r="243" spans="1:9" ht="12.65" customHeight="1" x14ac:dyDescent="0.35">
      <c r="A243" s="173"/>
      <c r="B243" s="173"/>
      <c r="C243" s="191"/>
      <c r="D243" s="175"/>
      <c r="E243" s="175"/>
      <c r="F243" s="231"/>
    </row>
    <row r="244" spans="1:9" ht="12.65" customHeight="1" x14ac:dyDescent="0.35">
      <c r="A244" s="173"/>
      <c r="B244" s="173"/>
      <c r="C244" s="191"/>
      <c r="D244" s="175"/>
      <c r="E244" s="175"/>
      <c r="F244" s="231"/>
    </row>
    <row r="245" spans="1:9" ht="12.65" customHeight="1" x14ac:dyDescent="0.35">
      <c r="A245" s="173"/>
      <c r="B245" s="173"/>
      <c r="C245" s="191"/>
      <c r="D245" s="175"/>
      <c r="E245" s="175"/>
      <c r="F245" s="231"/>
    </row>
    <row r="246" spans="1:9" ht="12.65" customHeight="1" x14ac:dyDescent="0.35">
      <c r="A246" s="173"/>
      <c r="B246" s="173"/>
      <c r="C246" s="191"/>
      <c r="D246" s="175"/>
      <c r="E246" s="175"/>
      <c r="F246" s="231"/>
    </row>
    <row r="247" spans="1:9" ht="21.75" customHeight="1" x14ac:dyDescent="0.35">
      <c r="A247" s="173"/>
      <c r="B247" s="173"/>
      <c r="C247" s="191"/>
      <c r="D247" s="175"/>
      <c r="E247" s="175"/>
      <c r="F247" s="231"/>
    </row>
    <row r="248" spans="1:9" ht="12.65" customHeight="1" x14ac:dyDescent="0.35">
      <c r="A248" s="208" t="s">
        <v>360</v>
      </c>
      <c r="B248" s="208"/>
      <c r="C248" s="208"/>
      <c r="D248" s="208"/>
      <c r="E248" s="208"/>
      <c r="F248" s="231"/>
    </row>
    <row r="249" spans="1:9" ht="11.25" customHeight="1" x14ac:dyDescent="0.35">
      <c r="A249" s="256" t="s">
        <v>361</v>
      </c>
      <c r="B249" s="256"/>
      <c r="C249" s="256"/>
      <c r="D249" s="256"/>
      <c r="E249" s="256"/>
      <c r="F249" s="231"/>
    </row>
    <row r="250" spans="1:9" ht="12.65" customHeight="1" x14ac:dyDescent="0.35">
      <c r="A250" s="173" t="s">
        <v>362</v>
      </c>
      <c r="B250" s="172" t="s">
        <v>256</v>
      </c>
      <c r="C250" s="189">
        <f>1635663.75</f>
        <v>1635663.75</v>
      </c>
      <c r="D250" s="175"/>
      <c r="E250" s="175"/>
      <c r="F250" s="231"/>
      <c r="G250" s="231"/>
      <c r="H250" s="231"/>
      <c r="I250" s="231"/>
    </row>
    <row r="251" spans="1:9" ht="12.65" customHeight="1" x14ac:dyDescent="0.35">
      <c r="A251" s="173" t="s">
        <v>363</v>
      </c>
      <c r="B251" s="172" t="s">
        <v>256</v>
      </c>
      <c r="C251" s="189"/>
      <c r="D251" s="175"/>
      <c r="E251" s="175"/>
      <c r="F251" s="231"/>
      <c r="G251" s="231"/>
      <c r="H251" s="231"/>
      <c r="I251" s="231"/>
    </row>
    <row r="252" spans="1:9" ht="12.65" customHeight="1" x14ac:dyDescent="0.35">
      <c r="A252" s="173" t="s">
        <v>364</v>
      </c>
      <c r="B252" s="172" t="s">
        <v>256</v>
      </c>
      <c r="C252" s="189">
        <f>38323726.72</f>
        <v>38323726.719999999</v>
      </c>
      <c r="D252" s="175"/>
      <c r="E252" s="175"/>
      <c r="F252" s="231"/>
      <c r="G252" s="231"/>
      <c r="H252" s="231"/>
      <c r="I252" s="231"/>
    </row>
    <row r="253" spans="1:9" ht="12.65" customHeight="1" x14ac:dyDescent="0.35">
      <c r="A253" s="173" t="s">
        <v>365</v>
      </c>
      <c r="B253" s="172" t="s">
        <v>256</v>
      </c>
      <c r="C253" s="189">
        <f>32594442.17</f>
        <v>32594442.170000002</v>
      </c>
      <c r="D253" s="175"/>
      <c r="E253" s="175"/>
      <c r="F253" s="231"/>
      <c r="G253" s="231"/>
      <c r="H253" s="231"/>
      <c r="I253" s="231"/>
    </row>
    <row r="254" spans="1:9" ht="12.65" customHeight="1" x14ac:dyDescent="0.35">
      <c r="A254" s="173" t="s">
        <v>1241</v>
      </c>
      <c r="B254" s="172" t="s">
        <v>256</v>
      </c>
      <c r="C254" s="189">
        <v>368439</v>
      </c>
      <c r="D254" s="175"/>
      <c r="E254" s="175"/>
      <c r="F254" s="231"/>
      <c r="G254" s="231"/>
      <c r="H254" s="231"/>
      <c r="I254" s="231"/>
    </row>
    <row r="255" spans="1:9" ht="12.65" customHeight="1" x14ac:dyDescent="0.35">
      <c r="A255" s="173" t="s">
        <v>366</v>
      </c>
      <c r="B255" s="172" t="s">
        <v>256</v>
      </c>
      <c r="C255" s="189"/>
      <c r="D255" s="175"/>
      <c r="E255" s="175"/>
      <c r="F255" s="231"/>
      <c r="G255" s="231"/>
      <c r="H255" s="231"/>
      <c r="I255" s="231"/>
    </row>
    <row r="256" spans="1:9" ht="12.65" customHeight="1" x14ac:dyDescent="0.35">
      <c r="A256" s="173" t="s">
        <v>367</v>
      </c>
      <c r="B256" s="172" t="s">
        <v>256</v>
      </c>
      <c r="C256" s="189"/>
      <c r="D256" s="175"/>
      <c r="E256" s="175"/>
      <c r="F256" s="231"/>
      <c r="G256" s="231"/>
      <c r="H256" s="231"/>
      <c r="I256" s="231"/>
    </row>
    <row r="257" spans="1:9" ht="12.65" customHeight="1" x14ac:dyDescent="0.35">
      <c r="A257" s="173" t="s">
        <v>368</v>
      </c>
      <c r="B257" s="172" t="s">
        <v>256</v>
      </c>
      <c r="C257" s="189">
        <f>1111634.96</f>
        <v>1111634.96</v>
      </c>
      <c r="D257" s="175"/>
      <c r="E257" s="175"/>
      <c r="F257" s="231"/>
      <c r="G257" s="231"/>
      <c r="H257" s="231"/>
      <c r="I257" s="231"/>
    </row>
    <row r="258" spans="1:9" ht="12.65" customHeight="1" x14ac:dyDescent="0.35">
      <c r="A258" s="173" t="s">
        <v>369</v>
      </c>
      <c r="B258" s="172" t="s">
        <v>256</v>
      </c>
      <c r="C258" s="189">
        <v>556610.94999999995</v>
      </c>
      <c r="D258" s="175"/>
      <c r="E258" s="175"/>
      <c r="F258" s="231"/>
      <c r="G258" s="231"/>
      <c r="H258" s="231"/>
      <c r="I258" s="231"/>
    </row>
    <row r="259" spans="1:9" ht="12.65" customHeight="1" x14ac:dyDescent="0.35">
      <c r="A259" s="173" t="s">
        <v>370</v>
      </c>
      <c r="B259" s="172" t="s">
        <v>256</v>
      </c>
      <c r="D259" s="175"/>
      <c r="E259" s="175"/>
      <c r="F259" s="231"/>
      <c r="G259" s="231"/>
      <c r="H259" s="231"/>
      <c r="I259" s="231"/>
    </row>
    <row r="260" spans="1:9" ht="12.65" customHeight="1" x14ac:dyDescent="0.35">
      <c r="A260" s="173" t="s">
        <v>371</v>
      </c>
      <c r="B260" s="175"/>
      <c r="C260" s="189">
        <v>107573.31</v>
      </c>
      <c r="D260" s="175">
        <f>SUM(C250:C252)-C253+SUM(C254:C260)</f>
        <v>9509206.5199999958</v>
      </c>
      <c r="E260" s="175"/>
      <c r="F260" s="231"/>
      <c r="G260" s="231"/>
      <c r="H260" s="231"/>
      <c r="I260" s="231"/>
    </row>
    <row r="261" spans="1:9" ht="11.25" customHeight="1" x14ac:dyDescent="0.35">
      <c r="A261" s="256" t="s">
        <v>372</v>
      </c>
      <c r="B261" s="256"/>
      <c r="C261" s="256"/>
      <c r="D261" s="256"/>
      <c r="E261" s="256"/>
      <c r="F261" s="231"/>
      <c r="G261" s="231"/>
      <c r="H261" s="231"/>
      <c r="I261" s="231"/>
    </row>
    <row r="262" spans="1:9" ht="12.65" customHeight="1" x14ac:dyDescent="0.35">
      <c r="A262" s="173" t="s">
        <v>362</v>
      </c>
      <c r="B262" s="172" t="s">
        <v>256</v>
      </c>
      <c r="C262" s="189"/>
      <c r="D262" s="175"/>
      <c r="E262" s="175"/>
      <c r="F262" s="231"/>
      <c r="G262" s="231"/>
      <c r="H262" s="231"/>
      <c r="I262" s="231"/>
    </row>
    <row r="263" spans="1:9" ht="12.65" customHeight="1" x14ac:dyDescent="0.35">
      <c r="A263" s="173" t="s">
        <v>363</v>
      </c>
      <c r="B263" s="172" t="s">
        <v>256</v>
      </c>
      <c r="C263" s="189"/>
      <c r="D263" s="175"/>
      <c r="E263" s="175"/>
      <c r="F263" s="231"/>
      <c r="G263" s="231"/>
      <c r="H263" s="231"/>
      <c r="I263" s="231"/>
    </row>
    <row r="264" spans="1:9" ht="12.65" customHeight="1" x14ac:dyDescent="0.35">
      <c r="A264" s="173" t="s">
        <v>373</v>
      </c>
      <c r="B264" s="172" t="s">
        <v>256</v>
      </c>
      <c r="C264" s="189"/>
      <c r="D264" s="175"/>
      <c r="E264" s="175"/>
      <c r="F264" s="231"/>
      <c r="G264" s="231"/>
      <c r="H264" s="231"/>
      <c r="I264" s="231"/>
    </row>
    <row r="265" spans="1:9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  <c r="F265" s="231"/>
      <c r="G265" s="231"/>
      <c r="H265" s="231"/>
      <c r="I265" s="231"/>
    </row>
    <row r="266" spans="1:9" ht="11.25" customHeight="1" x14ac:dyDescent="0.35">
      <c r="A266" s="256" t="s">
        <v>375</v>
      </c>
      <c r="B266" s="256"/>
      <c r="C266" s="256"/>
      <c r="D266" s="256"/>
      <c r="E266" s="256"/>
      <c r="F266" s="231"/>
      <c r="G266" s="231"/>
      <c r="H266" s="231"/>
      <c r="I266" s="231"/>
    </row>
    <row r="267" spans="1:9" ht="12.65" customHeight="1" x14ac:dyDescent="0.35">
      <c r="A267" s="173" t="s">
        <v>332</v>
      </c>
      <c r="B267" s="172" t="s">
        <v>256</v>
      </c>
      <c r="C267" s="189">
        <v>550000</v>
      </c>
      <c r="D267" s="175"/>
      <c r="E267" s="175"/>
      <c r="F267" s="231"/>
      <c r="G267" s="194"/>
      <c r="H267" s="231"/>
      <c r="I267" s="231"/>
    </row>
    <row r="268" spans="1:9" ht="12.65" customHeight="1" x14ac:dyDescent="0.35">
      <c r="A268" s="173" t="s">
        <v>333</v>
      </c>
      <c r="B268" s="172" t="s">
        <v>256</v>
      </c>
      <c r="C268" s="189">
        <v>26952.880000000001</v>
      </c>
      <c r="D268" s="175"/>
      <c r="E268" s="175"/>
      <c r="F268" s="231"/>
      <c r="G268" s="194"/>
      <c r="H268" s="231"/>
      <c r="I268" s="231"/>
    </row>
    <row r="269" spans="1:9" ht="12.65" customHeight="1" x14ac:dyDescent="0.35">
      <c r="A269" s="173" t="s">
        <v>334</v>
      </c>
      <c r="B269" s="172" t="s">
        <v>256</v>
      </c>
      <c r="C269" s="189">
        <f>7958258.7</f>
        <v>7958258.7000000002</v>
      </c>
      <c r="D269" s="175"/>
      <c r="E269" s="175"/>
      <c r="F269" s="231"/>
      <c r="G269" s="194"/>
      <c r="H269" s="231"/>
      <c r="I269" s="231"/>
    </row>
    <row r="270" spans="1:9" ht="12.65" customHeight="1" x14ac:dyDescent="0.35">
      <c r="A270" s="173" t="s">
        <v>376</v>
      </c>
      <c r="B270" s="172" t="s">
        <v>256</v>
      </c>
      <c r="C270" s="189">
        <f>365172</f>
        <v>365172</v>
      </c>
      <c r="D270" s="175"/>
      <c r="E270" s="175"/>
      <c r="F270" s="231"/>
      <c r="G270" s="194"/>
      <c r="H270" s="231"/>
      <c r="I270" s="231"/>
    </row>
    <row r="271" spans="1:9" ht="12.65" customHeight="1" x14ac:dyDescent="0.35">
      <c r="A271" s="173" t="s">
        <v>377</v>
      </c>
      <c r="B271" s="172" t="s">
        <v>256</v>
      </c>
      <c r="C271" s="189"/>
      <c r="D271" s="175"/>
      <c r="E271" s="175"/>
      <c r="F271" s="231"/>
      <c r="G271" s="194"/>
      <c r="H271" s="231"/>
      <c r="I271" s="231"/>
    </row>
    <row r="272" spans="1:9" ht="12.65" customHeight="1" x14ac:dyDescent="0.35">
      <c r="A272" s="173" t="s">
        <v>378</v>
      </c>
      <c r="B272" s="172" t="s">
        <v>256</v>
      </c>
      <c r="C272" s="189">
        <v>1703716</v>
      </c>
      <c r="D272" s="175"/>
      <c r="E272" s="175"/>
      <c r="F272" s="231"/>
      <c r="G272" s="194"/>
      <c r="H272" s="231"/>
      <c r="I272" s="231"/>
    </row>
    <row r="273" spans="1:9" ht="12.65" customHeight="1" x14ac:dyDescent="0.35">
      <c r="A273" s="173" t="s">
        <v>339</v>
      </c>
      <c r="B273" s="172" t="s">
        <v>256</v>
      </c>
      <c r="C273" s="189"/>
      <c r="D273" s="175"/>
      <c r="E273" s="175"/>
      <c r="F273" s="231"/>
      <c r="G273" s="194"/>
      <c r="H273" s="231"/>
      <c r="I273" s="231"/>
    </row>
    <row r="274" spans="1:9" ht="12.65" customHeight="1" x14ac:dyDescent="0.35">
      <c r="A274" s="173" t="s">
        <v>340</v>
      </c>
      <c r="B274" s="172" t="s">
        <v>256</v>
      </c>
      <c r="C274" s="189">
        <f>55076.34</f>
        <v>55076.34</v>
      </c>
      <c r="D274" s="175"/>
      <c r="E274" s="175"/>
      <c r="F274" s="231"/>
      <c r="G274" s="194"/>
      <c r="H274" s="231"/>
      <c r="I274" s="231"/>
    </row>
    <row r="275" spans="1:9" ht="12.65" customHeight="1" x14ac:dyDescent="0.35">
      <c r="A275" s="173" t="s">
        <v>379</v>
      </c>
      <c r="B275" s="175"/>
      <c r="C275" s="191"/>
      <c r="D275" s="175">
        <f>SUM(C267:C274)</f>
        <v>10659175.92</v>
      </c>
      <c r="E275" s="175"/>
      <c r="F275" s="231"/>
      <c r="G275" s="231"/>
      <c r="H275" s="231"/>
      <c r="I275" s="231"/>
    </row>
    <row r="276" spans="1:9" ht="12.65" customHeight="1" x14ac:dyDescent="0.35">
      <c r="A276" s="173" t="s">
        <v>380</v>
      </c>
      <c r="B276" s="172" t="s">
        <v>256</v>
      </c>
      <c r="C276" s="189">
        <v>2560901.27</v>
      </c>
      <c r="D276" s="175"/>
      <c r="E276" s="175"/>
      <c r="F276" s="231"/>
      <c r="G276" s="231"/>
      <c r="H276" s="231"/>
      <c r="I276" s="231"/>
    </row>
    <row r="277" spans="1:9" ht="12.65" customHeight="1" x14ac:dyDescent="0.35">
      <c r="A277" s="173" t="s">
        <v>381</v>
      </c>
      <c r="B277" s="175"/>
      <c r="C277" s="191"/>
      <c r="D277" s="175">
        <f>D275-C276</f>
        <v>8098274.6500000004</v>
      </c>
      <c r="E277" s="175"/>
      <c r="F277" s="231"/>
      <c r="G277" s="231"/>
      <c r="H277" s="231"/>
      <c r="I277" s="231"/>
    </row>
    <row r="278" spans="1:9" ht="12.65" customHeight="1" x14ac:dyDescent="0.35">
      <c r="A278" s="256" t="s">
        <v>382</v>
      </c>
      <c r="B278" s="256"/>
      <c r="C278" s="256"/>
      <c r="D278" s="256"/>
      <c r="E278" s="256"/>
      <c r="F278" s="231"/>
      <c r="G278" s="231"/>
      <c r="H278" s="231"/>
      <c r="I278" s="231"/>
    </row>
    <row r="279" spans="1:9" ht="12.65" customHeight="1" x14ac:dyDescent="0.35">
      <c r="A279" s="173" t="s">
        <v>383</v>
      </c>
      <c r="B279" s="172" t="s">
        <v>256</v>
      </c>
      <c r="C279" s="189"/>
      <c r="D279" s="175"/>
      <c r="E279" s="175"/>
      <c r="F279" s="231"/>
      <c r="G279" s="231"/>
      <c r="H279" s="231"/>
      <c r="I279" s="231"/>
    </row>
    <row r="280" spans="1:9" ht="12.65" customHeight="1" x14ac:dyDescent="0.35">
      <c r="A280" s="173" t="s">
        <v>384</v>
      </c>
      <c r="B280" s="172" t="s">
        <v>256</v>
      </c>
      <c r="C280" s="189"/>
      <c r="D280" s="175"/>
      <c r="E280" s="175"/>
      <c r="F280" s="231"/>
      <c r="G280" s="231"/>
      <c r="H280" s="231"/>
      <c r="I280" s="231"/>
    </row>
    <row r="281" spans="1:9" ht="12.65" customHeight="1" x14ac:dyDescent="0.35">
      <c r="A281" s="173" t="s">
        <v>385</v>
      </c>
      <c r="B281" s="172" t="s">
        <v>256</v>
      </c>
      <c r="C281" s="189"/>
      <c r="D281" s="175"/>
      <c r="E281" s="175"/>
      <c r="F281" s="231"/>
      <c r="G281" s="231"/>
      <c r="H281" s="231"/>
      <c r="I281" s="231"/>
    </row>
    <row r="282" spans="1:9" ht="12.65" customHeight="1" x14ac:dyDescent="0.35">
      <c r="A282" s="173" t="s">
        <v>373</v>
      </c>
      <c r="B282" s="172" t="s">
        <v>256</v>
      </c>
      <c r="C282" s="189"/>
      <c r="D282" s="175"/>
      <c r="E282" s="175"/>
      <c r="F282" s="231"/>
      <c r="G282" s="231"/>
      <c r="H282" s="231"/>
      <c r="I282" s="231"/>
    </row>
    <row r="283" spans="1:9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  <c r="F283" s="231"/>
      <c r="G283" s="231"/>
      <c r="H283" s="231"/>
      <c r="I283" s="231"/>
    </row>
    <row r="284" spans="1:9" ht="12.65" customHeight="1" x14ac:dyDescent="0.35">
      <c r="A284" s="173"/>
      <c r="B284" s="175"/>
      <c r="C284" s="191"/>
      <c r="D284" s="175"/>
      <c r="E284" s="175"/>
      <c r="F284" s="231"/>
      <c r="G284" s="231"/>
      <c r="H284" s="231"/>
      <c r="I284" s="231"/>
    </row>
    <row r="285" spans="1:9" ht="12.65" customHeight="1" x14ac:dyDescent="0.35">
      <c r="A285" s="256" t="s">
        <v>387</v>
      </c>
      <c r="B285" s="256"/>
      <c r="C285" s="256"/>
      <c r="D285" s="256"/>
      <c r="E285" s="256"/>
      <c r="F285" s="231"/>
      <c r="G285" s="231"/>
      <c r="H285" s="231"/>
      <c r="I285" s="231"/>
    </row>
    <row r="286" spans="1:9" ht="12.65" customHeight="1" x14ac:dyDescent="0.35">
      <c r="A286" s="173" t="s">
        <v>388</v>
      </c>
      <c r="B286" s="172" t="s">
        <v>256</v>
      </c>
      <c r="C286" s="189"/>
      <c r="D286" s="175"/>
      <c r="E286" s="175"/>
      <c r="F286" s="231"/>
      <c r="G286" s="231"/>
      <c r="H286" s="231"/>
      <c r="I286" s="231"/>
    </row>
    <row r="287" spans="1:9" ht="12.65" customHeight="1" x14ac:dyDescent="0.35">
      <c r="A287" s="173" t="s">
        <v>389</v>
      </c>
      <c r="B287" s="172" t="s">
        <v>256</v>
      </c>
      <c r="C287" s="189"/>
      <c r="D287" s="175"/>
      <c r="E287" s="175"/>
      <c r="F287" s="231"/>
      <c r="G287" s="231"/>
      <c r="H287" s="231"/>
      <c r="I287" s="231"/>
    </row>
    <row r="288" spans="1:9" ht="12.65" customHeight="1" x14ac:dyDescent="0.35">
      <c r="A288" s="173" t="s">
        <v>390</v>
      </c>
      <c r="B288" s="172" t="s">
        <v>256</v>
      </c>
      <c r="C288" s="189"/>
      <c r="D288" s="175"/>
      <c r="E288" s="175"/>
      <c r="F288" s="231"/>
      <c r="G288" s="231"/>
      <c r="H288" s="231"/>
      <c r="I288" s="231"/>
    </row>
    <row r="289" spans="1:9" ht="12.65" customHeight="1" x14ac:dyDescent="0.35">
      <c r="A289" s="173" t="s">
        <v>391</v>
      </c>
      <c r="B289" s="172" t="s">
        <v>256</v>
      </c>
      <c r="C289" s="189"/>
      <c r="D289" s="175"/>
      <c r="E289" s="175"/>
      <c r="F289" s="231"/>
      <c r="G289" s="231"/>
      <c r="H289" s="231"/>
      <c r="I289" s="231"/>
    </row>
    <row r="290" spans="1:9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  <c r="F290" s="231"/>
      <c r="G290" s="231"/>
      <c r="H290" s="231"/>
      <c r="I290" s="231"/>
    </row>
    <row r="291" spans="1:9" ht="12.65" customHeight="1" x14ac:dyDescent="0.35">
      <c r="A291" s="173"/>
      <c r="B291" s="175"/>
      <c r="C291" s="191"/>
      <c r="D291" s="175"/>
      <c r="E291" s="175"/>
      <c r="F291" s="231"/>
      <c r="G291" s="231"/>
      <c r="H291" s="231"/>
      <c r="I291" s="231"/>
    </row>
    <row r="292" spans="1:9" ht="12.65" customHeight="1" x14ac:dyDescent="0.35">
      <c r="A292" s="173" t="s">
        <v>393</v>
      </c>
      <c r="B292" s="175"/>
      <c r="C292" s="191"/>
      <c r="D292" s="175">
        <f>D260+D265+D277+D283+D290</f>
        <v>17607481.169999994</v>
      </c>
      <c r="E292" s="175"/>
      <c r="F292" s="231"/>
      <c r="G292" s="231"/>
      <c r="H292" s="231"/>
      <c r="I292" s="231"/>
    </row>
    <row r="293" spans="1:9" ht="12.65" customHeight="1" x14ac:dyDescent="0.35">
      <c r="A293" s="173"/>
      <c r="B293" s="173"/>
      <c r="C293" s="191"/>
      <c r="D293" s="175"/>
      <c r="E293" s="175"/>
      <c r="F293" s="231"/>
      <c r="G293" s="231"/>
      <c r="H293" s="231"/>
      <c r="I293" s="231"/>
    </row>
    <row r="294" spans="1:9" ht="12.65" customHeight="1" x14ac:dyDescent="0.35">
      <c r="A294" s="173"/>
      <c r="B294" s="173"/>
      <c r="C294" s="191"/>
      <c r="D294" s="175"/>
      <c r="E294" s="175"/>
      <c r="F294" s="231"/>
      <c r="G294" s="231"/>
      <c r="H294" s="231"/>
      <c r="I294" s="231"/>
    </row>
    <row r="295" spans="1:9" ht="12.65" customHeight="1" x14ac:dyDescent="0.35">
      <c r="A295" s="173"/>
      <c r="B295" s="173"/>
      <c r="C295" s="191"/>
      <c r="D295" s="175"/>
      <c r="E295" s="175"/>
      <c r="F295" s="231"/>
      <c r="G295" s="231"/>
      <c r="H295" s="231"/>
      <c r="I295" s="231"/>
    </row>
    <row r="296" spans="1:9" ht="12.65" customHeight="1" x14ac:dyDescent="0.35">
      <c r="A296" s="173"/>
      <c r="B296" s="173"/>
      <c r="C296" s="191"/>
      <c r="D296" s="175"/>
      <c r="E296" s="175"/>
      <c r="F296" s="231"/>
      <c r="G296" s="231"/>
      <c r="H296" s="231"/>
      <c r="I296" s="231"/>
    </row>
    <row r="297" spans="1:9" ht="12.65" customHeight="1" x14ac:dyDescent="0.35">
      <c r="A297" s="173"/>
      <c r="B297" s="173"/>
      <c r="C297" s="191"/>
      <c r="D297" s="175"/>
      <c r="E297" s="175"/>
      <c r="F297" s="231"/>
      <c r="G297" s="231"/>
      <c r="H297" s="231"/>
      <c r="I297" s="231"/>
    </row>
    <row r="298" spans="1:9" ht="12.65" customHeight="1" x14ac:dyDescent="0.35">
      <c r="A298" s="173"/>
      <c r="B298" s="173"/>
      <c r="C298" s="191"/>
      <c r="D298" s="175"/>
      <c r="E298" s="175"/>
      <c r="F298" s="231"/>
      <c r="G298" s="231"/>
      <c r="H298" s="231"/>
      <c r="I298" s="231"/>
    </row>
    <row r="299" spans="1:9" ht="12.65" customHeight="1" x14ac:dyDescent="0.35">
      <c r="A299" s="173"/>
      <c r="B299" s="173"/>
      <c r="C299" s="191"/>
      <c r="D299" s="175"/>
      <c r="E299" s="175"/>
      <c r="F299" s="231"/>
      <c r="G299" s="231"/>
      <c r="H299" s="231"/>
      <c r="I299" s="231"/>
    </row>
    <row r="300" spans="1:9" ht="12.65" customHeight="1" x14ac:dyDescent="0.35">
      <c r="A300" s="173"/>
      <c r="B300" s="173"/>
      <c r="C300" s="191"/>
      <c r="D300" s="175"/>
      <c r="E300" s="175"/>
      <c r="F300" s="231"/>
      <c r="G300" s="231"/>
      <c r="H300" s="231"/>
      <c r="I300" s="231"/>
    </row>
    <row r="301" spans="1:9" ht="20.25" customHeight="1" x14ac:dyDescent="0.35">
      <c r="A301" s="173"/>
      <c r="B301" s="173"/>
      <c r="C301" s="191"/>
      <c r="D301" s="175"/>
      <c r="E301" s="175"/>
      <c r="F301" s="231"/>
      <c r="G301" s="231"/>
      <c r="H301" s="231"/>
      <c r="I301" s="231"/>
    </row>
    <row r="302" spans="1:9" ht="12.65" customHeight="1" x14ac:dyDescent="0.35">
      <c r="A302" s="208" t="s">
        <v>394</v>
      </c>
      <c r="B302" s="208"/>
      <c r="C302" s="208"/>
      <c r="D302" s="208"/>
      <c r="E302" s="208"/>
      <c r="F302" s="231"/>
      <c r="G302" s="231"/>
      <c r="H302" s="231"/>
      <c r="I302" s="231"/>
    </row>
    <row r="303" spans="1:9" ht="14.25" customHeight="1" x14ac:dyDescent="0.35">
      <c r="A303" s="256" t="s">
        <v>395</v>
      </c>
      <c r="B303" s="256"/>
      <c r="C303" s="256"/>
      <c r="D303" s="256"/>
      <c r="E303" s="256"/>
      <c r="F303" s="231"/>
      <c r="G303" s="231"/>
      <c r="H303" s="231"/>
      <c r="I303" s="231"/>
    </row>
    <row r="304" spans="1:9" ht="12.65" customHeight="1" x14ac:dyDescent="0.35">
      <c r="A304" s="173" t="s">
        <v>396</v>
      </c>
      <c r="B304" s="172" t="s">
        <v>256</v>
      </c>
      <c r="C304" s="189"/>
      <c r="D304" s="175"/>
      <c r="E304" s="175"/>
      <c r="F304" s="231"/>
      <c r="G304" s="231"/>
      <c r="H304" s="231"/>
      <c r="I304" s="231"/>
    </row>
    <row r="305" spans="1:9" ht="12.65" customHeight="1" x14ac:dyDescent="0.35">
      <c r="A305" s="173" t="s">
        <v>397</v>
      </c>
      <c r="B305" s="172" t="s">
        <v>256</v>
      </c>
      <c r="C305" s="189">
        <f>2437077</f>
        <v>2437077</v>
      </c>
      <c r="D305" s="175"/>
      <c r="E305" s="175"/>
      <c r="F305" s="231"/>
      <c r="G305" s="231"/>
      <c r="H305" s="231"/>
      <c r="I305" s="231"/>
    </row>
    <row r="306" spans="1:9" ht="12.65" customHeight="1" x14ac:dyDescent="0.35">
      <c r="A306" s="173" t="s">
        <v>398</v>
      </c>
      <c r="B306" s="172" t="s">
        <v>256</v>
      </c>
      <c r="C306" s="189">
        <f>1029175</f>
        <v>1029175</v>
      </c>
      <c r="D306" s="175"/>
      <c r="E306" s="175"/>
      <c r="F306" s="231"/>
      <c r="G306" s="231"/>
      <c r="H306" s="231"/>
      <c r="I306" s="231"/>
    </row>
    <row r="307" spans="1:9" ht="12.65" customHeight="1" x14ac:dyDescent="0.35">
      <c r="A307" s="173" t="s">
        <v>399</v>
      </c>
      <c r="B307" s="172" t="s">
        <v>256</v>
      </c>
      <c r="C307" s="189">
        <f>3478346</f>
        <v>3478346</v>
      </c>
      <c r="D307" s="175"/>
      <c r="E307" s="175"/>
      <c r="F307" s="231"/>
      <c r="G307" s="231"/>
      <c r="H307" s="231"/>
      <c r="I307" s="231"/>
    </row>
    <row r="308" spans="1:9" ht="12.65" customHeight="1" x14ac:dyDescent="0.35">
      <c r="A308" s="173" t="s">
        <v>400</v>
      </c>
      <c r="B308" s="172" t="s">
        <v>256</v>
      </c>
      <c r="C308" s="189"/>
      <c r="D308" s="175"/>
      <c r="E308" s="175"/>
      <c r="F308" s="231"/>
      <c r="G308" s="231"/>
      <c r="H308" s="231"/>
      <c r="I308" s="231"/>
    </row>
    <row r="309" spans="1:9" ht="12.65" customHeight="1" x14ac:dyDescent="0.35">
      <c r="A309" s="173" t="s">
        <v>1242</v>
      </c>
      <c r="B309" s="172" t="s">
        <v>256</v>
      </c>
      <c r="C309" s="189"/>
      <c r="D309" s="175"/>
      <c r="E309" s="175"/>
      <c r="F309" s="231"/>
      <c r="G309" s="231"/>
      <c r="H309" s="231"/>
      <c r="I309" s="231"/>
    </row>
    <row r="310" spans="1:9" ht="12.65" customHeight="1" x14ac:dyDescent="0.35">
      <c r="A310" s="173" t="s">
        <v>401</v>
      </c>
      <c r="B310" s="172" t="s">
        <v>256</v>
      </c>
      <c r="C310" s="189"/>
      <c r="D310" s="175"/>
      <c r="E310" s="175"/>
      <c r="F310" s="231"/>
      <c r="G310" s="231"/>
      <c r="H310" s="231"/>
      <c r="I310" s="231"/>
    </row>
    <row r="311" spans="1:9" ht="12.65" customHeight="1" x14ac:dyDescent="0.35">
      <c r="A311" s="173" t="s">
        <v>402</v>
      </c>
      <c r="B311" s="172" t="s">
        <v>256</v>
      </c>
      <c r="C311" s="189"/>
      <c r="D311" s="175"/>
      <c r="E311" s="175"/>
      <c r="F311" s="231"/>
      <c r="G311" s="231"/>
      <c r="H311" s="231"/>
      <c r="I311" s="231"/>
    </row>
    <row r="312" spans="1:9" ht="12.65" customHeight="1" x14ac:dyDescent="0.35">
      <c r="A312" s="173" t="s">
        <v>403</v>
      </c>
      <c r="B312" s="172" t="s">
        <v>256</v>
      </c>
      <c r="C312" s="189"/>
      <c r="D312" s="175"/>
      <c r="E312" s="175"/>
      <c r="F312" s="231"/>
      <c r="G312" s="231"/>
      <c r="H312" s="231"/>
      <c r="I312" s="231"/>
    </row>
    <row r="313" spans="1:9" ht="12.65" customHeight="1" x14ac:dyDescent="0.35">
      <c r="A313" s="173" t="s">
        <v>404</v>
      </c>
      <c r="B313" s="172" t="s">
        <v>256</v>
      </c>
      <c r="C313" s="189">
        <f>437300.19</f>
        <v>437300.19</v>
      </c>
      <c r="D313" s="175"/>
      <c r="E313" s="175"/>
      <c r="F313" s="231"/>
      <c r="G313" s="231"/>
      <c r="H313" s="231"/>
      <c r="I313" s="231"/>
    </row>
    <row r="314" spans="1:9" ht="12.65" customHeight="1" x14ac:dyDescent="0.35">
      <c r="A314" s="173" t="s">
        <v>405</v>
      </c>
      <c r="B314" s="175"/>
      <c r="C314" s="191"/>
      <c r="D314" s="175">
        <f>SUM(C304:C313)</f>
        <v>7381898.1900000004</v>
      </c>
      <c r="E314" s="175"/>
      <c r="F314" s="231"/>
      <c r="G314" s="231"/>
      <c r="H314" s="231"/>
      <c r="I314" s="231"/>
    </row>
    <row r="315" spans="1:9" ht="12.65" customHeight="1" x14ac:dyDescent="0.35">
      <c r="A315" s="256" t="s">
        <v>406</v>
      </c>
      <c r="B315" s="256"/>
      <c r="C315" s="256"/>
      <c r="D315" s="256"/>
      <c r="E315" s="256"/>
      <c r="F315" s="231"/>
      <c r="G315" s="231"/>
      <c r="H315" s="231"/>
      <c r="I315" s="231"/>
    </row>
    <row r="316" spans="1:9" ht="12.65" customHeight="1" x14ac:dyDescent="0.35">
      <c r="A316" s="173" t="s">
        <v>407</v>
      </c>
      <c r="B316" s="172" t="s">
        <v>256</v>
      </c>
      <c r="C316" s="189"/>
      <c r="D316" s="175"/>
      <c r="E316" s="175"/>
      <c r="F316" s="231"/>
      <c r="G316" s="231"/>
      <c r="H316" s="231"/>
      <c r="I316" s="231"/>
    </row>
    <row r="317" spans="1:9" ht="12.65" customHeight="1" x14ac:dyDescent="0.35">
      <c r="A317" s="173" t="s">
        <v>408</v>
      </c>
      <c r="B317" s="172" t="s">
        <v>256</v>
      </c>
      <c r="C317" s="189"/>
      <c r="D317" s="175"/>
      <c r="E317" s="175"/>
      <c r="F317" s="231"/>
      <c r="G317" s="231"/>
      <c r="H317" s="231"/>
      <c r="I317" s="231"/>
    </row>
    <row r="318" spans="1:9" ht="12.65" customHeight="1" x14ac:dyDescent="0.35">
      <c r="A318" s="173" t="s">
        <v>409</v>
      </c>
      <c r="B318" s="172" t="s">
        <v>256</v>
      </c>
      <c r="C318" s="189"/>
      <c r="D318" s="175"/>
      <c r="E318" s="175"/>
      <c r="F318" s="231"/>
      <c r="G318" s="231"/>
      <c r="H318" s="231"/>
      <c r="I318" s="231"/>
    </row>
    <row r="319" spans="1:9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  <c r="F319" s="231"/>
      <c r="G319" s="231"/>
      <c r="H319" s="231"/>
      <c r="I319" s="231"/>
    </row>
    <row r="320" spans="1:9" ht="12.65" customHeight="1" x14ac:dyDescent="0.35">
      <c r="A320" s="256" t="s">
        <v>411</v>
      </c>
      <c r="B320" s="256"/>
      <c r="C320" s="256"/>
      <c r="D320" s="256"/>
      <c r="E320" s="256"/>
      <c r="F320" s="231"/>
      <c r="G320" s="231"/>
      <c r="H320" s="231"/>
      <c r="I320" s="231"/>
    </row>
    <row r="321" spans="1:9" ht="12.65" customHeight="1" x14ac:dyDescent="0.35">
      <c r="A321" s="173" t="s">
        <v>412</v>
      </c>
      <c r="B321" s="172" t="s">
        <v>256</v>
      </c>
      <c r="C321" s="189"/>
      <c r="D321" s="175"/>
      <c r="E321" s="175"/>
      <c r="F321" s="231"/>
      <c r="G321" s="231"/>
      <c r="H321" s="231"/>
      <c r="I321" s="231"/>
    </row>
    <row r="322" spans="1:9" ht="12.65" customHeight="1" x14ac:dyDescent="0.35">
      <c r="A322" s="173" t="s">
        <v>413</v>
      </c>
      <c r="B322" s="172" t="s">
        <v>256</v>
      </c>
      <c r="C322" s="189">
        <f>2068812+1576916</f>
        <v>3645728</v>
      </c>
      <c r="D322" s="175"/>
      <c r="E322" s="175"/>
      <c r="F322" s="231"/>
      <c r="G322" s="231"/>
      <c r="H322" s="231"/>
      <c r="I322" s="231"/>
    </row>
    <row r="323" spans="1:9" ht="12.65" customHeight="1" x14ac:dyDescent="0.35">
      <c r="A323" s="173" t="s">
        <v>414</v>
      </c>
      <c r="B323" s="172" t="s">
        <v>256</v>
      </c>
      <c r="C323" s="189">
        <v>10200282</v>
      </c>
      <c r="D323" s="175"/>
      <c r="E323" s="175"/>
      <c r="F323" s="231"/>
      <c r="G323" s="231"/>
      <c r="H323" s="231"/>
      <c r="I323" s="231"/>
    </row>
    <row r="324" spans="1:9" ht="12.65" customHeight="1" x14ac:dyDescent="0.35">
      <c r="A324" s="171" t="s">
        <v>415</v>
      </c>
      <c r="B324" s="172" t="s">
        <v>256</v>
      </c>
      <c r="C324" s="189"/>
      <c r="D324" s="175"/>
      <c r="E324" s="175"/>
      <c r="F324" s="231"/>
      <c r="G324" s="231"/>
      <c r="H324" s="231"/>
      <c r="I324" s="231"/>
    </row>
    <row r="325" spans="1:9" ht="12.65" customHeight="1" x14ac:dyDescent="0.35">
      <c r="A325" s="173" t="s">
        <v>416</v>
      </c>
      <c r="B325" s="172" t="s">
        <v>256</v>
      </c>
      <c r="C325" s="189"/>
      <c r="D325" s="175"/>
      <c r="E325" s="175"/>
      <c r="F325" s="231"/>
      <c r="G325" s="231"/>
      <c r="H325" s="231"/>
      <c r="I325" s="231"/>
    </row>
    <row r="326" spans="1:9" ht="12.65" customHeight="1" x14ac:dyDescent="0.35">
      <c r="A326" s="171" t="s">
        <v>417</v>
      </c>
      <c r="B326" s="172" t="s">
        <v>256</v>
      </c>
      <c r="C326" s="189">
        <f>-963431</f>
        <v>-963431</v>
      </c>
      <c r="D326" s="175"/>
      <c r="E326" s="175"/>
      <c r="F326" s="231"/>
      <c r="G326" s="231"/>
      <c r="H326" s="231"/>
      <c r="I326" s="231"/>
    </row>
    <row r="327" spans="1:9" ht="12.65" customHeight="1" x14ac:dyDescent="0.35">
      <c r="A327" s="173" t="s">
        <v>418</v>
      </c>
      <c r="B327" s="172" t="s">
        <v>256</v>
      </c>
      <c r="C327" s="189"/>
      <c r="D327" s="175"/>
      <c r="E327" s="175"/>
      <c r="F327" s="231"/>
      <c r="G327" s="231"/>
      <c r="H327" s="231"/>
      <c r="I327" s="231"/>
    </row>
    <row r="328" spans="1:9" ht="19.5" customHeight="1" x14ac:dyDescent="0.35">
      <c r="A328" s="173" t="s">
        <v>203</v>
      </c>
      <c r="B328" s="175"/>
      <c r="C328" s="191"/>
      <c r="D328" s="175">
        <f>SUM(C321:C327)</f>
        <v>12882579</v>
      </c>
      <c r="E328" s="175"/>
      <c r="F328" s="231"/>
      <c r="G328" s="231"/>
      <c r="H328" s="231"/>
      <c r="I328" s="231"/>
    </row>
    <row r="329" spans="1:9" ht="12.65" customHeight="1" x14ac:dyDescent="0.35">
      <c r="A329" s="173" t="s">
        <v>419</v>
      </c>
      <c r="B329" s="175"/>
      <c r="C329" s="191"/>
      <c r="D329" s="175">
        <v>0</v>
      </c>
      <c r="E329" s="175"/>
      <c r="F329" s="231"/>
      <c r="G329" s="231"/>
      <c r="H329" s="231"/>
      <c r="I329" s="231"/>
    </row>
    <row r="330" spans="1:9" ht="12.65" customHeight="1" x14ac:dyDescent="0.35">
      <c r="A330" s="173" t="s">
        <v>420</v>
      </c>
      <c r="B330" s="175"/>
      <c r="C330" s="191"/>
      <c r="D330" s="175">
        <f>D328-D329</f>
        <v>12882579</v>
      </c>
      <c r="E330" s="175"/>
      <c r="F330" s="231"/>
      <c r="G330" s="231"/>
      <c r="H330" s="231"/>
      <c r="I330" s="231"/>
    </row>
    <row r="331" spans="1:9" ht="12.65" customHeight="1" x14ac:dyDescent="0.35">
      <c r="A331" s="173"/>
      <c r="B331" s="175"/>
      <c r="C331" s="191"/>
      <c r="D331" s="175"/>
      <c r="E331" s="175"/>
      <c r="F331" s="231"/>
      <c r="G331" s="231"/>
      <c r="H331" s="231"/>
      <c r="I331" s="231"/>
    </row>
    <row r="332" spans="1:9" ht="12.65" customHeight="1" x14ac:dyDescent="0.35">
      <c r="A332" s="173" t="s">
        <v>421</v>
      </c>
      <c r="B332" s="172" t="s">
        <v>256</v>
      </c>
      <c r="C332" s="222"/>
      <c r="D332" s="175"/>
      <c r="E332" s="175"/>
      <c r="F332" s="231"/>
      <c r="G332" s="231"/>
      <c r="H332" s="231"/>
      <c r="I332" s="231"/>
    </row>
    <row r="333" spans="1:9" ht="12.65" customHeight="1" x14ac:dyDescent="0.35">
      <c r="A333" s="173"/>
      <c r="B333" s="172"/>
      <c r="C333" s="229"/>
      <c r="D333" s="175"/>
      <c r="E333" s="175"/>
      <c r="F333" s="231"/>
      <c r="G333" s="231"/>
      <c r="H333" s="231"/>
      <c r="I333" s="231"/>
    </row>
    <row r="334" spans="1:9" ht="12.65" customHeight="1" x14ac:dyDescent="0.35">
      <c r="A334" s="173" t="s">
        <v>1142</v>
      </c>
      <c r="B334" s="172" t="s">
        <v>256</v>
      </c>
      <c r="C334" s="222"/>
      <c r="D334" s="175"/>
      <c r="E334" s="175"/>
      <c r="F334" s="231"/>
      <c r="G334" s="231"/>
      <c r="H334" s="231"/>
      <c r="I334" s="231"/>
    </row>
    <row r="335" spans="1:9" ht="12.65" customHeight="1" x14ac:dyDescent="0.35">
      <c r="A335" s="173" t="s">
        <v>1143</v>
      </c>
      <c r="B335" s="172" t="s">
        <v>256</v>
      </c>
      <c r="C335" s="222"/>
      <c r="D335" s="175"/>
      <c r="E335" s="175"/>
      <c r="F335" s="231"/>
      <c r="G335" s="231"/>
      <c r="H335" s="231"/>
      <c r="I335" s="231"/>
    </row>
    <row r="336" spans="1:9" ht="12.65" customHeight="1" x14ac:dyDescent="0.35">
      <c r="A336" s="173" t="s">
        <v>423</v>
      </c>
      <c r="B336" s="172" t="s">
        <v>256</v>
      </c>
      <c r="C336" s="222"/>
      <c r="D336" s="175"/>
      <c r="E336" s="175"/>
      <c r="F336" s="231"/>
      <c r="G336" s="231"/>
      <c r="H336" s="231"/>
      <c r="I336" s="231"/>
    </row>
    <row r="337" spans="1:9" ht="12.65" customHeight="1" x14ac:dyDescent="0.35">
      <c r="A337" s="173" t="s">
        <v>422</v>
      </c>
      <c r="B337" s="172" t="s">
        <v>256</v>
      </c>
      <c r="C337" s="189">
        <f>-2656996</f>
        <v>-2656996</v>
      </c>
      <c r="D337" s="175"/>
      <c r="E337" s="175"/>
      <c r="F337" s="231"/>
      <c r="G337" s="231"/>
      <c r="H337" s="231"/>
      <c r="I337" s="231"/>
    </row>
    <row r="338" spans="1:9" ht="12.65" customHeight="1" x14ac:dyDescent="0.35">
      <c r="A338" s="173" t="s">
        <v>1253</v>
      </c>
      <c r="B338" s="172" t="s">
        <v>256</v>
      </c>
      <c r="C338" s="189"/>
      <c r="D338" s="175"/>
      <c r="E338" s="175"/>
      <c r="F338" s="231"/>
      <c r="G338" s="231"/>
      <c r="H338" s="231"/>
      <c r="I338" s="231"/>
    </row>
    <row r="339" spans="1:9" ht="12.65" customHeight="1" x14ac:dyDescent="0.35">
      <c r="A339" s="173" t="s">
        <v>424</v>
      </c>
      <c r="B339" s="175"/>
      <c r="C339" s="191"/>
      <c r="D339" s="175">
        <f>D314+D319+D330+C332+C336+C337</f>
        <v>17607481.190000001</v>
      </c>
      <c r="E339" s="175"/>
      <c r="F339" s="231"/>
      <c r="G339" s="231"/>
      <c r="H339" s="231"/>
      <c r="I339" s="231"/>
    </row>
    <row r="340" spans="1:9" ht="12.65" customHeight="1" x14ac:dyDescent="0.35">
      <c r="A340" s="173"/>
      <c r="B340" s="175"/>
      <c r="C340" s="191"/>
      <c r="D340" s="175"/>
      <c r="E340" s="175"/>
      <c r="F340" s="231"/>
      <c r="G340" s="231"/>
      <c r="H340" s="231"/>
      <c r="I340" s="231"/>
    </row>
    <row r="341" spans="1:9" ht="12.65" customHeight="1" x14ac:dyDescent="0.35">
      <c r="A341" s="173" t="s">
        <v>425</v>
      </c>
      <c r="B341" s="175"/>
      <c r="C341" s="191"/>
      <c r="D341" s="175">
        <f>D292</f>
        <v>17607481.169999994</v>
      </c>
      <c r="E341" s="175"/>
      <c r="F341" s="231"/>
      <c r="G341" s="231"/>
      <c r="H341" s="231"/>
      <c r="I341" s="231"/>
    </row>
    <row r="342" spans="1:9" ht="12.65" customHeight="1" x14ac:dyDescent="0.35">
      <c r="A342" s="173"/>
      <c r="B342" s="173"/>
      <c r="C342" s="191"/>
      <c r="D342" s="175"/>
      <c r="E342" s="175"/>
    </row>
    <row r="343" spans="1:9" ht="12.65" customHeight="1" x14ac:dyDescent="0.35">
      <c r="A343" s="173"/>
      <c r="B343" s="173"/>
      <c r="C343" s="191"/>
      <c r="D343" s="175"/>
      <c r="E343" s="175"/>
    </row>
    <row r="344" spans="1:9" ht="12.65" customHeight="1" x14ac:dyDescent="0.35">
      <c r="A344" s="173"/>
      <c r="B344" s="173"/>
      <c r="C344" s="191"/>
      <c r="D344" s="175"/>
      <c r="E344" s="175"/>
    </row>
    <row r="345" spans="1:9" ht="12.65" customHeight="1" x14ac:dyDescent="0.35">
      <c r="A345" s="173"/>
      <c r="B345" s="173"/>
      <c r="C345" s="191"/>
      <c r="D345" s="175"/>
      <c r="E345" s="175"/>
    </row>
    <row r="346" spans="1:9" ht="12.65" customHeight="1" x14ac:dyDescent="0.35">
      <c r="A346" s="173"/>
      <c r="B346" s="173"/>
      <c r="C346" s="191"/>
      <c r="D346" s="175"/>
      <c r="E346" s="175"/>
    </row>
    <row r="347" spans="1:9" ht="12.65" customHeight="1" x14ac:dyDescent="0.35">
      <c r="A347" s="173"/>
      <c r="B347" s="173"/>
      <c r="C347" s="191"/>
      <c r="D347" s="175"/>
      <c r="E347" s="175"/>
    </row>
    <row r="348" spans="1:9" ht="12.65" customHeight="1" x14ac:dyDescent="0.35">
      <c r="A348" s="173"/>
      <c r="B348" s="173"/>
      <c r="C348" s="191"/>
      <c r="D348" s="175"/>
      <c r="E348" s="175"/>
    </row>
    <row r="349" spans="1:9" ht="12.65" customHeight="1" x14ac:dyDescent="0.35">
      <c r="A349" s="173"/>
      <c r="B349" s="173"/>
      <c r="C349" s="191"/>
      <c r="D349" s="175"/>
      <c r="E349" s="175"/>
    </row>
    <row r="350" spans="1:9" ht="12.65" customHeight="1" x14ac:dyDescent="0.35">
      <c r="A350" s="173"/>
      <c r="B350" s="173"/>
      <c r="C350" s="191"/>
      <c r="D350" s="175"/>
      <c r="E350" s="175"/>
    </row>
    <row r="351" spans="1:9" ht="12.65" customHeight="1" x14ac:dyDescent="0.35">
      <c r="A351" s="173"/>
      <c r="B351" s="173"/>
      <c r="C351" s="191"/>
      <c r="D351" s="175"/>
      <c r="E351" s="175"/>
    </row>
    <row r="352" spans="1:9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6" t="s">
        <v>427</v>
      </c>
      <c r="B358" s="256"/>
      <c r="C358" s="256"/>
      <c r="D358" s="256"/>
      <c r="E358" s="256"/>
    </row>
    <row r="359" spans="1:5" ht="12.65" customHeight="1" x14ac:dyDescent="0.35">
      <c r="A359" s="173" t="s">
        <v>428</v>
      </c>
      <c r="B359" s="172" t="s">
        <v>256</v>
      </c>
      <c r="C359" s="189">
        <f>45555251</f>
        <v>45555251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96608044</f>
        <v>96608044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142163295</v>
      </c>
      <c r="E361" s="175"/>
    </row>
    <row r="362" spans="1:5" ht="12.65" customHeight="1" x14ac:dyDescent="0.35">
      <c r="A362" s="256" t="s">
        <v>431</v>
      </c>
      <c r="B362" s="256"/>
      <c r="C362" s="256"/>
      <c r="D362" s="256"/>
      <c r="E362" s="256"/>
    </row>
    <row r="363" spans="1:5" ht="12.65" customHeight="1" x14ac:dyDescent="0.35">
      <c r="A363" s="173" t="s">
        <v>1255</v>
      </c>
      <c r="B363" s="256"/>
      <c r="C363" s="189">
        <f>3158937.98+693757.1</f>
        <v>3852695.08</v>
      </c>
      <c r="D363" s="175"/>
      <c r="E363" s="256"/>
    </row>
    <row r="364" spans="1:5" ht="12.65" customHeight="1" x14ac:dyDescent="0.35">
      <c r="A364" s="173" t="s">
        <v>432</v>
      </c>
      <c r="B364" s="172" t="s">
        <v>256</v>
      </c>
      <c r="C364" s="189">
        <v>100605902.43000001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614308.57</f>
        <v>614308.56999999995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-29196.62</f>
        <v>-29196.62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105043709.45999999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37119585.540000007</v>
      </c>
      <c r="E368" s="175"/>
    </row>
    <row r="369" spans="1:5" ht="12.65" customHeight="1" x14ac:dyDescent="0.35">
      <c r="A369" s="256" t="s">
        <v>436</v>
      </c>
      <c r="B369" s="256"/>
      <c r="C369" s="256"/>
      <c r="D369" s="256"/>
      <c r="E369" s="256"/>
    </row>
    <row r="370" spans="1:5" ht="12.65" customHeight="1" x14ac:dyDescent="0.35">
      <c r="A370" s="173" t="s">
        <v>437</v>
      </c>
      <c r="B370" s="172" t="s">
        <v>256</v>
      </c>
      <c r="C370" s="189">
        <f>196649.98</f>
        <v>196649.98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196649.98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37316235.520000003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6" t="s">
        <v>441</v>
      </c>
      <c r="B377" s="256"/>
      <c r="C377" s="256"/>
      <c r="D377" s="256"/>
      <c r="E377" s="256"/>
    </row>
    <row r="378" spans="1:5" ht="12.65" customHeight="1" x14ac:dyDescent="0.35">
      <c r="A378" s="173" t="s">
        <v>442</v>
      </c>
      <c r="B378" s="172" t="s">
        <v>256</v>
      </c>
      <c r="C378" s="189">
        <f>15560911</f>
        <v>15560911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2491885</f>
        <v>2491885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2945720</f>
        <v>2945720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2782613</f>
        <v>2782613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f>440092</f>
        <v>440092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8223836</f>
        <v>8223836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>714847</f>
        <v>714847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>390654</f>
        <v>390654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177512.84</f>
        <v>177512.84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1070690.88</f>
        <v>1070690.8799999999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1328422.83</f>
        <v>1328422.83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655548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36782732.550000004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533502.96999999881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2.23+9630214.49+127299.2</f>
        <v>9757515.9199999999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10291018.889999999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10291018.889999999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9"/>
    </row>
    <row r="412" spans="1:5" ht="12.65" customHeight="1" x14ac:dyDescent="0.35">
      <c r="A412" s="179" t="str">
        <f>C84&amp;"   "&amp;"H-"&amp;FIXED(C83,0,TRUE)&amp;"     FYE "&amp;C82</f>
        <v>ASTRIA TOPPENISH HOSPITAL   H-0     FYE 12/31/2020</v>
      </c>
      <c r="B412" s="179"/>
      <c r="C412" s="179"/>
      <c r="D412" s="179"/>
      <c r="E412" s="259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1280</v>
      </c>
      <c r="C414" s="194">
        <f>E138</f>
        <v>1629</v>
      </c>
      <c r="D414" s="179"/>
    </row>
    <row r="415" spans="1:5" ht="12.65" customHeight="1" x14ac:dyDescent="0.35">
      <c r="A415" s="179" t="s">
        <v>464</v>
      </c>
      <c r="B415" s="179">
        <f>D111</f>
        <v>7484</v>
      </c>
      <c r="C415" s="179">
        <f>E139</f>
        <v>8464</v>
      </c>
      <c r="D415" s="194">
        <f>SUM(C59:H59)+N59</f>
        <v>6745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349</v>
      </c>
    </row>
    <row r="424" spans="1:7" ht="12.65" customHeight="1" x14ac:dyDescent="0.35">
      <c r="A424" s="179" t="s">
        <v>1244</v>
      </c>
      <c r="B424" s="179">
        <f>D114</f>
        <v>980</v>
      </c>
      <c r="D424" s="179">
        <f>J59</f>
        <v>980</v>
      </c>
      <c r="G424" s="206"/>
    </row>
    <row r="425" spans="1:7" ht="12.65" customHeight="1" x14ac:dyDescent="0.35">
      <c r="A425" s="206"/>
      <c r="B425" s="206"/>
      <c r="C425" s="206"/>
      <c r="D425" s="206"/>
      <c r="F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15560911</v>
      </c>
      <c r="C427" s="179">
        <f t="shared" ref="C427:C434" si="13">CE61</f>
        <v>15560911.349999998</v>
      </c>
      <c r="D427" s="179"/>
    </row>
    <row r="428" spans="1:7" ht="12.65" customHeight="1" x14ac:dyDescent="0.35">
      <c r="A428" s="179" t="s">
        <v>3</v>
      </c>
      <c r="B428" s="179">
        <f t="shared" si="12"/>
        <v>2491885</v>
      </c>
      <c r="C428" s="179">
        <f t="shared" si="13"/>
        <v>2491885</v>
      </c>
      <c r="D428" s="179">
        <f>D173</f>
        <v>2491885.3800000004</v>
      </c>
    </row>
    <row r="429" spans="1:7" ht="12.65" customHeight="1" x14ac:dyDescent="0.35">
      <c r="A429" s="179" t="s">
        <v>236</v>
      </c>
      <c r="B429" s="179">
        <f t="shared" si="12"/>
        <v>2945720</v>
      </c>
      <c r="C429" s="179">
        <f t="shared" si="13"/>
        <v>2945719.9699999997</v>
      </c>
      <c r="D429" s="179"/>
    </row>
    <row r="430" spans="1:7" ht="12.65" customHeight="1" x14ac:dyDescent="0.35">
      <c r="A430" s="179" t="s">
        <v>237</v>
      </c>
      <c r="B430" s="179">
        <f t="shared" si="12"/>
        <v>2782613</v>
      </c>
      <c r="C430" s="179">
        <f t="shared" si="13"/>
        <v>2782612.4999999995</v>
      </c>
      <c r="D430" s="179"/>
    </row>
    <row r="431" spans="1:7" ht="12.65" customHeight="1" x14ac:dyDescent="0.35">
      <c r="A431" s="179" t="s">
        <v>444</v>
      </c>
      <c r="B431" s="179">
        <f t="shared" si="12"/>
        <v>440092</v>
      </c>
      <c r="C431" s="179">
        <f t="shared" si="13"/>
        <v>440091.76999999996</v>
      </c>
      <c r="D431" s="179"/>
    </row>
    <row r="432" spans="1:7" ht="12.65" customHeight="1" x14ac:dyDescent="0.35">
      <c r="A432" s="179" t="s">
        <v>445</v>
      </c>
      <c r="B432" s="179">
        <f t="shared" si="12"/>
        <v>8223836</v>
      </c>
      <c r="C432" s="179">
        <f t="shared" si="13"/>
        <v>8223836.4000000004</v>
      </c>
      <c r="D432" s="179"/>
    </row>
    <row r="433" spans="1:7" ht="12.65" customHeight="1" x14ac:dyDescent="0.35">
      <c r="A433" s="179" t="s">
        <v>6</v>
      </c>
      <c r="B433" s="179">
        <f t="shared" si="12"/>
        <v>714847</v>
      </c>
      <c r="C433" s="179">
        <f t="shared" si="13"/>
        <v>714847</v>
      </c>
      <c r="D433" s="179">
        <f>C217</f>
        <v>553470.17000000016</v>
      </c>
    </row>
    <row r="434" spans="1:7" ht="12.65" customHeight="1" x14ac:dyDescent="0.35">
      <c r="A434" s="179" t="s">
        <v>474</v>
      </c>
      <c r="B434" s="179">
        <f t="shared" si="12"/>
        <v>390654</v>
      </c>
      <c r="C434" s="179">
        <f t="shared" si="13"/>
        <v>390653.52000000008</v>
      </c>
      <c r="D434" s="179">
        <f>D177</f>
        <v>390653.7</v>
      </c>
    </row>
    <row r="435" spans="1:7" ht="12.65" customHeight="1" x14ac:dyDescent="0.35">
      <c r="A435" s="179" t="s">
        <v>447</v>
      </c>
      <c r="B435" s="179">
        <f t="shared" si="12"/>
        <v>177512.84</v>
      </c>
      <c r="C435" s="179"/>
      <c r="D435" s="179">
        <f>D181</f>
        <v>177512.84000000003</v>
      </c>
    </row>
    <row r="436" spans="1:7" ht="12.65" customHeight="1" x14ac:dyDescent="0.35">
      <c r="A436" s="179" t="s">
        <v>475</v>
      </c>
      <c r="B436" s="179">
        <f t="shared" si="12"/>
        <v>1070690.8799999999</v>
      </c>
      <c r="C436" s="179"/>
      <c r="D436" s="179">
        <f>D186</f>
        <v>1070690.8799999999</v>
      </c>
    </row>
    <row r="437" spans="1:7" ht="12.65" customHeight="1" x14ac:dyDescent="0.35">
      <c r="A437" s="194" t="s">
        <v>449</v>
      </c>
      <c r="B437" s="194">
        <f t="shared" si="12"/>
        <v>1328422.83</v>
      </c>
      <c r="C437" s="194"/>
      <c r="D437" s="194">
        <f>D190</f>
        <v>1328422.83</v>
      </c>
    </row>
    <row r="438" spans="1:7" ht="12.65" customHeight="1" x14ac:dyDescent="0.35">
      <c r="A438" s="194" t="s">
        <v>476</v>
      </c>
      <c r="B438" s="194">
        <f>C386+C387+C388</f>
        <v>2576626.5499999998</v>
      </c>
      <c r="C438" s="194">
        <f>CD69</f>
        <v>0</v>
      </c>
      <c r="D438" s="194">
        <f>D181+D186+D190</f>
        <v>2576626.5499999998</v>
      </c>
    </row>
    <row r="439" spans="1:7" ht="12.65" customHeight="1" x14ac:dyDescent="0.35">
      <c r="A439" s="179" t="s">
        <v>451</v>
      </c>
      <c r="B439" s="194">
        <f>C389</f>
        <v>655548</v>
      </c>
      <c r="C439" s="194">
        <f>SUM(C69:CC69)</f>
        <v>1620385.6400000001</v>
      </c>
      <c r="D439" s="179"/>
    </row>
    <row r="440" spans="1:7" ht="12.65" customHeight="1" x14ac:dyDescent="0.35">
      <c r="A440" s="179" t="s">
        <v>477</v>
      </c>
      <c r="B440" s="194">
        <f>B438+B439</f>
        <v>3232174.55</v>
      </c>
      <c r="C440" s="194">
        <f>CE69</f>
        <v>1620385.6400000001</v>
      </c>
      <c r="D440" s="179"/>
    </row>
    <row r="441" spans="1:7" ht="12.65" customHeight="1" x14ac:dyDescent="0.35">
      <c r="A441" s="179" t="s">
        <v>478</v>
      </c>
      <c r="B441" s="179">
        <f>D390</f>
        <v>36782732.550000004</v>
      </c>
      <c r="C441" s="179">
        <f>SUM(C427:C437)+C440</f>
        <v>35170943.149999991</v>
      </c>
      <c r="D441" s="179"/>
      <c r="G441" s="206"/>
    </row>
    <row r="442" spans="1:7" ht="12.65" customHeight="1" x14ac:dyDescent="0.35">
      <c r="A442" s="206"/>
      <c r="B442" s="206"/>
      <c r="C442" s="206"/>
      <c r="D442" s="206"/>
      <c r="F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3852695</v>
      </c>
      <c r="C444" s="179">
        <f>C363</f>
        <v>3852695.08</v>
      </c>
      <c r="D444" s="179"/>
    </row>
    <row r="445" spans="1:7" ht="12.65" customHeight="1" x14ac:dyDescent="0.35">
      <c r="A445" s="179" t="s">
        <v>343</v>
      </c>
      <c r="B445" s="179">
        <f>D229</f>
        <v>100576705</v>
      </c>
      <c r="C445" s="179">
        <f>C364</f>
        <v>100605902.43000001</v>
      </c>
      <c r="D445" s="179"/>
    </row>
    <row r="446" spans="1:7" ht="12.65" customHeight="1" x14ac:dyDescent="0.35">
      <c r="A446" s="179" t="s">
        <v>351</v>
      </c>
      <c r="B446" s="179">
        <f>D236</f>
        <v>614309</v>
      </c>
      <c r="C446" s="179">
        <f>C365</f>
        <v>614308.56999999995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-29196.62</v>
      </c>
      <c r="D447" s="179"/>
    </row>
    <row r="448" spans="1:7" ht="12.65" customHeight="1" x14ac:dyDescent="0.35">
      <c r="A448" s="179" t="s">
        <v>358</v>
      </c>
      <c r="B448" s="179">
        <f>D242</f>
        <v>105043709</v>
      </c>
      <c r="C448" s="179">
        <f>D367</f>
        <v>105043709.45999999</v>
      </c>
      <c r="D448" s="179"/>
      <c r="G448" s="206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614309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  <c r="G455" s="206"/>
    </row>
    <row r="456" spans="1:7" ht="12.65" customHeight="1" x14ac:dyDescent="0.35">
      <c r="A456" s="206"/>
      <c r="B456" s="206"/>
      <c r="C456" s="206"/>
      <c r="D456" s="206"/>
      <c r="F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196649.98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  <c r="G459" s="206"/>
    </row>
    <row r="460" spans="1:7" ht="12.65" customHeight="1" x14ac:dyDescent="0.35">
      <c r="A460" s="206"/>
      <c r="B460" s="206"/>
      <c r="C460" s="206"/>
      <c r="D460" s="206"/>
      <c r="F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45555251</v>
      </c>
      <c r="C463" s="194">
        <f>CE73</f>
        <v>45555251.439999998</v>
      </c>
      <c r="D463" s="194">
        <f>E141+E147+E153</f>
        <v>45555252</v>
      </c>
    </row>
    <row r="464" spans="1:7" ht="12.65" customHeight="1" x14ac:dyDescent="0.35">
      <c r="A464" s="179" t="s">
        <v>246</v>
      </c>
      <c r="B464" s="194">
        <f>C360</f>
        <v>96608044</v>
      </c>
      <c r="C464" s="194">
        <f>CE74</f>
        <v>96608043.859999999</v>
      </c>
      <c r="D464" s="194">
        <f>E142+E148+E154</f>
        <v>96608044</v>
      </c>
    </row>
    <row r="465" spans="1:7" ht="12.65" customHeight="1" x14ac:dyDescent="0.35">
      <c r="A465" s="179" t="s">
        <v>247</v>
      </c>
      <c r="B465" s="194">
        <f>D361</f>
        <v>142163295</v>
      </c>
      <c r="C465" s="194">
        <f>CE75</f>
        <v>142163295.29999998</v>
      </c>
      <c r="D465" s="194">
        <f>D463+D464</f>
        <v>142163296</v>
      </c>
      <c r="G465" s="206"/>
    </row>
    <row r="466" spans="1:7" ht="12.65" customHeight="1" x14ac:dyDescent="0.35">
      <c r="A466" s="206"/>
      <c r="B466" s="206"/>
      <c r="C466" s="206"/>
      <c r="D466" s="206"/>
      <c r="F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550000</v>
      </c>
      <c r="C468" s="179">
        <f>E195</f>
        <v>550000</v>
      </c>
      <c r="D468" s="179"/>
    </row>
    <row r="469" spans="1:7" ht="12.65" customHeight="1" x14ac:dyDescent="0.35">
      <c r="A469" s="179" t="s">
        <v>333</v>
      </c>
      <c r="B469" s="179">
        <f t="shared" si="14"/>
        <v>26952.880000000001</v>
      </c>
      <c r="C469" s="179">
        <f>E196</f>
        <v>26953</v>
      </c>
      <c r="D469" s="179"/>
    </row>
    <row r="470" spans="1:7" ht="12.65" customHeight="1" x14ac:dyDescent="0.35">
      <c r="A470" s="179" t="s">
        <v>334</v>
      </c>
      <c r="B470" s="179">
        <f t="shared" si="14"/>
        <v>7958258.7000000002</v>
      </c>
      <c r="C470" s="179">
        <f>E197</f>
        <v>7958258.7000000002</v>
      </c>
      <c r="D470" s="179"/>
    </row>
    <row r="471" spans="1:7" ht="12.65" customHeight="1" x14ac:dyDescent="0.35">
      <c r="A471" s="179" t="s">
        <v>494</v>
      </c>
      <c r="B471" s="179">
        <f t="shared" si="14"/>
        <v>365172</v>
      </c>
      <c r="C471" s="179">
        <f>E198</f>
        <v>365171.96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1703716</v>
      </c>
      <c r="C473" s="179">
        <f>SUM(E200:E201)</f>
        <v>1703715.71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55076.34</v>
      </c>
      <c r="C475" s="179">
        <f>E203</f>
        <v>55076.899999999907</v>
      </c>
      <c r="D475" s="179"/>
    </row>
    <row r="476" spans="1:7" ht="12.65" customHeight="1" x14ac:dyDescent="0.35">
      <c r="A476" s="179" t="s">
        <v>203</v>
      </c>
      <c r="B476" s="179">
        <f>D275</f>
        <v>10659175.92</v>
      </c>
      <c r="C476" s="179">
        <f>E204</f>
        <v>10659176.270000001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2560901.27</v>
      </c>
      <c r="C478" s="179">
        <f>E217</f>
        <v>2560901.27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17607481.169999994</v>
      </c>
    </row>
    <row r="482" spans="1:12" ht="12.65" customHeight="1" x14ac:dyDescent="0.35">
      <c r="A482" s="180" t="s">
        <v>499</v>
      </c>
      <c r="C482" s="180">
        <f>D339</f>
        <v>17607481.190000001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199</v>
      </c>
      <c r="B493" s="260" t="str">
        <f>RIGHT('Prior Year'!C82,4)</f>
        <v>2019</v>
      </c>
      <c r="C493" s="260" t="str">
        <f>RIGHT(C82,4)</f>
        <v>2020</v>
      </c>
      <c r="D493" s="260" t="str">
        <f>RIGHT('Prior Year'!C82,4)</f>
        <v>2019</v>
      </c>
      <c r="E493" s="260" t="str">
        <f>RIGHT(C82,4)</f>
        <v>2020</v>
      </c>
      <c r="F493" s="260" t="str">
        <f>RIGHT('Prior Year'!C82,4)</f>
        <v>2019</v>
      </c>
      <c r="G493" s="260" t="str">
        <f>RIGHT(C82,4)</f>
        <v>2020</v>
      </c>
      <c r="H493" s="260"/>
      <c r="K493" s="260"/>
      <c r="L493" s="260"/>
    </row>
    <row r="494" spans="1:12" ht="12.65" customHeight="1" x14ac:dyDescent="0.3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5">
      <c r="A496" s="180" t="s">
        <v>512</v>
      </c>
      <c r="B496" s="239">
        <f>'Prior Year'!C71</f>
        <v>831362.23999999987</v>
      </c>
      <c r="C496" s="239">
        <f>C71</f>
        <v>1722650.4899999998</v>
      </c>
      <c r="D496" s="239">
        <f>'Prior Year'!C59</f>
        <v>187</v>
      </c>
      <c r="E496" s="180">
        <f>C59</f>
        <v>220</v>
      </c>
      <c r="F496" s="262">
        <f t="shared" ref="F496:F511" si="15">IF(B496=0,"",IF(D496=0,"",B496/D496))</f>
        <v>4445.7873796791437</v>
      </c>
      <c r="G496" s="263">
        <f t="shared" ref="G496:G508" si="16">IF(C496=0,"",IF(E496=0,"",C496/E496))</f>
        <v>7830.2294999999986</v>
      </c>
      <c r="H496" s="264">
        <f t="shared" ref="H496:H508" si="17">IF(B496=0,"",IF(C496=0,"",IF(D496=0,"",IF(E496=0,"",IF(G496/F496-1&lt;-0.25,G496/F496-1,IF(G496/F496-1&gt;0.25,G496/F496-1,""))))))</f>
        <v>0.7612694515690297</v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6"/>
        <v/>
      </c>
      <c r="H497" s="264" t="str">
        <f t="shared" si="17"/>
        <v/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f>'Prior Year'!E71</f>
        <v>2317658.0599999996</v>
      </c>
      <c r="C498" s="239">
        <f>E71</f>
        <v>2102340.34</v>
      </c>
      <c r="D498" s="239">
        <f>'Prior Year'!E59</f>
        <v>2938</v>
      </c>
      <c r="E498" s="180">
        <f>E59</f>
        <v>2954</v>
      </c>
      <c r="F498" s="262">
        <f t="shared" si="15"/>
        <v>788.85570456092569</v>
      </c>
      <c r="G498" s="262">
        <f t="shared" si="16"/>
        <v>711.69273527420444</v>
      </c>
      <c r="H498" s="264" t="str">
        <f t="shared" si="17"/>
        <v/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6"/>
        <v/>
      </c>
      <c r="H499" s="264" t="str">
        <f t="shared" si="17"/>
        <v/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6"/>
        <v/>
      </c>
      <c r="H500" s="264" t="str">
        <f t="shared" si="17"/>
        <v/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f>'Prior Year'!H71</f>
        <v>1542941.85</v>
      </c>
      <c r="C501" s="239">
        <f>H71</f>
        <v>4320567.7300000004</v>
      </c>
      <c r="D501" s="239">
        <f>'Prior Year'!H59</f>
        <v>3571</v>
      </c>
      <c r="E501" s="180">
        <f>H59</f>
        <v>3571</v>
      </c>
      <c r="F501" s="262">
        <f t="shared" si="15"/>
        <v>432.0755670680482</v>
      </c>
      <c r="G501" s="262">
        <f t="shared" si="16"/>
        <v>1209.904152898348</v>
      </c>
      <c r="H501" s="264">
        <f t="shared" si="17"/>
        <v>1.8002142336083504</v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6"/>
        <v/>
      </c>
      <c r="H502" s="264" t="str">
        <f t="shared" si="17"/>
        <v/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f>'Prior Year'!J71</f>
        <v>14766.369999999999</v>
      </c>
      <c r="C503" s="239">
        <f>J71</f>
        <v>7098.47</v>
      </c>
      <c r="D503" s="239">
        <f>'Prior Year'!J59</f>
        <v>429</v>
      </c>
      <c r="E503" s="180">
        <f>J59</f>
        <v>980</v>
      </c>
      <c r="F503" s="262">
        <f t="shared" si="15"/>
        <v>34.420442890442885</v>
      </c>
      <c r="G503" s="262">
        <f t="shared" si="16"/>
        <v>7.2433367346938775</v>
      </c>
      <c r="H503" s="264">
        <f t="shared" si="17"/>
        <v>-0.78956294206472721</v>
      </c>
      <c r="I503" s="266"/>
      <c r="K503" s="260"/>
      <c r="L503" s="260"/>
    </row>
    <row r="504" spans="1:12" ht="12.65" customHeight="1" x14ac:dyDescent="0.3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6"/>
        <v/>
      </c>
      <c r="H504" s="264" t="str">
        <f t="shared" si="17"/>
        <v/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6"/>
        <v/>
      </c>
      <c r="H505" s="264" t="str">
        <f t="shared" si="17"/>
        <v/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6"/>
        <v/>
      </c>
      <c r="H506" s="264" t="str">
        <f t="shared" si="17"/>
        <v/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6"/>
        <v/>
      </c>
      <c r="H507" s="264" t="str">
        <f t="shared" si="17"/>
        <v/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f>'Prior Year'!O71</f>
        <v>1848969.32</v>
      </c>
      <c r="C508" s="239">
        <f>O71</f>
        <v>2441715.94</v>
      </c>
      <c r="D508" s="239">
        <f>'Prior Year'!O59</f>
        <v>671</v>
      </c>
      <c r="E508" s="180">
        <f>O59</f>
        <v>739</v>
      </c>
      <c r="F508" s="262">
        <f t="shared" si="15"/>
        <v>2755.5429508196721</v>
      </c>
      <c r="G508" s="262">
        <f t="shared" si="16"/>
        <v>3304.0811096075777</v>
      </c>
      <c r="H508" s="264" t="str">
        <f t="shared" si="17"/>
        <v/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f>'Prior Year'!P71</f>
        <v>1219741.5900000001</v>
      </c>
      <c r="C509" s="239">
        <f>P71</f>
        <v>1386538.47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ref="G509:G539" si="18">IF(C510=0,"",IF(E510=0,"",C510/E510))</f>
        <v/>
      </c>
      <c r="H509" s="264" t="str">
        <f>IF(B509=0,"",IF(C509=0,"",IF(D509=0,"",IF(E509=0,"",IF(#REF!/F509-1&lt;-0.25,#REF!/F509-1,IF(#REF!/F509-1&gt;0.25,#REF!/F509-1,""))))))</f>
        <v/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f>'Prior Year'!Q71</f>
        <v>243402.16</v>
      </c>
      <c r="C510" s="239">
        <f>Q71</f>
        <v>314594.07999999996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8"/>
        <v/>
      </c>
      <c r="H510" s="264" t="str">
        <f t="shared" ref="H510:H540" si="19">IF(B510=0,"",IF(C510=0,"",IF(D510=0,"",IF(E510=0,"",IF(G509/F510-1&lt;-0.25,G509/F510-1,IF(G509/F510-1&gt;0.25,G509/F510-1,""))))))</f>
        <v/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f>'Prior Year'!R71</f>
        <v>278957.00000000006</v>
      </c>
      <c r="C511" s="239">
        <f>R71</f>
        <v>270742.83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8"/>
        <v/>
      </c>
      <c r="H511" s="264" t="str">
        <f t="shared" si="19"/>
        <v/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f>'Prior Year'!S71</f>
        <v>76436.86</v>
      </c>
      <c r="C512" s="239">
        <f>S71</f>
        <v>187337.74000000002</v>
      </c>
      <c r="D512" s="181" t="s">
        <v>529</v>
      </c>
      <c r="E512" s="181" t="s">
        <v>529</v>
      </c>
      <c r="F512" s="262" t="str">
        <f t="shared" ref="F512:F527" si="20">IF(B512=0,"",IF(D512=0,"",B512/D512))</f>
        <v/>
      </c>
      <c r="G512" s="262" t="str">
        <f t="shared" si="18"/>
        <v/>
      </c>
      <c r="H512" s="264" t="str">
        <f t="shared" si="19"/>
        <v/>
      </c>
      <c r="I512" s="266"/>
      <c r="K512" s="260"/>
      <c r="L512" s="260"/>
    </row>
    <row r="513" spans="1:12" ht="12.65" customHeight="1" x14ac:dyDescent="0.35">
      <c r="A513" s="180" t="s">
        <v>1246</v>
      </c>
      <c r="B513" s="239">
        <f>'Prior Year'!T71</f>
        <v>-1334.92</v>
      </c>
      <c r="C513" s="239">
        <f>T71</f>
        <v>0</v>
      </c>
      <c r="D513" s="181" t="s">
        <v>529</v>
      </c>
      <c r="E513" s="181" t="s">
        <v>529</v>
      </c>
      <c r="F513" s="262" t="str">
        <f t="shared" si="20"/>
        <v/>
      </c>
      <c r="G513" s="262" t="str">
        <f t="shared" si="18"/>
        <v/>
      </c>
      <c r="H513" s="264" t="str">
        <f t="shared" si="19"/>
        <v/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f>'Prior Year'!U71</f>
        <v>1411487.89</v>
      </c>
      <c r="C514" s="239">
        <f>U71</f>
        <v>1744002.51</v>
      </c>
      <c r="D514" s="239">
        <f>'Prior Year'!U59</f>
        <v>0</v>
      </c>
      <c r="E514" s="180">
        <f>U59</f>
        <v>0</v>
      </c>
      <c r="F514" s="262" t="str">
        <f t="shared" si="20"/>
        <v/>
      </c>
      <c r="G514" s="262" t="str">
        <f t="shared" si="18"/>
        <v/>
      </c>
      <c r="H514" s="264" t="str">
        <f t="shared" si="19"/>
        <v/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f>'Prior Year'!V71</f>
        <v>511.01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20"/>
        <v/>
      </c>
      <c r="G515" s="262" t="str">
        <f t="shared" si="18"/>
        <v/>
      </c>
      <c r="H515" s="264" t="str">
        <f t="shared" si="19"/>
        <v/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f>'Prior Year'!W71</f>
        <v>135249.54</v>
      </c>
      <c r="C516" s="239">
        <f>W71</f>
        <v>123523.58</v>
      </c>
      <c r="D516" s="239">
        <f>'Prior Year'!W59</f>
        <v>0</v>
      </c>
      <c r="E516" s="180">
        <f>W59</f>
        <v>0</v>
      </c>
      <c r="F516" s="262" t="str">
        <f t="shared" si="20"/>
        <v/>
      </c>
      <c r="G516" s="262" t="str">
        <f t="shared" si="18"/>
        <v/>
      </c>
      <c r="H516" s="264" t="str">
        <f t="shared" si="19"/>
        <v/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f>'Prior Year'!X71</f>
        <v>101591.90999999999</v>
      </c>
      <c r="C517" s="239">
        <f>X71</f>
        <v>129862.04</v>
      </c>
      <c r="D517" s="239">
        <f>'Prior Year'!X59</f>
        <v>3597</v>
      </c>
      <c r="E517" s="180">
        <f>X59</f>
        <v>0</v>
      </c>
      <c r="F517" s="262">
        <f t="shared" si="20"/>
        <v>28.243511259382817</v>
      </c>
      <c r="G517" s="262" t="str">
        <f t="shared" si="18"/>
        <v/>
      </c>
      <c r="H517" s="264" t="str">
        <f t="shared" si="19"/>
        <v/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f>'Prior Year'!Y71</f>
        <v>1099733.74</v>
      </c>
      <c r="C518" s="239">
        <f>Y71</f>
        <v>1224869.46</v>
      </c>
      <c r="D518" s="239">
        <f>'Prior Year'!Y59</f>
        <v>0</v>
      </c>
      <c r="E518" s="180">
        <f>Y59</f>
        <v>0</v>
      </c>
      <c r="F518" s="262" t="str">
        <f t="shared" si="20"/>
        <v/>
      </c>
      <c r="G518" s="262" t="str">
        <f t="shared" si="18"/>
        <v/>
      </c>
      <c r="H518" s="264" t="str">
        <f t="shared" si="19"/>
        <v/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20"/>
        <v/>
      </c>
      <c r="G519" s="262" t="str">
        <f t="shared" si="18"/>
        <v/>
      </c>
      <c r="H519" s="264" t="str">
        <f t="shared" si="19"/>
        <v/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f>'Prior Year'!AA71</f>
        <v>0</v>
      </c>
      <c r="C520" s="239">
        <f>AA71</f>
        <v>20633.84</v>
      </c>
      <c r="D520" s="239">
        <f>'Prior Year'!AA59</f>
        <v>0</v>
      </c>
      <c r="E520" s="180">
        <f>AA59</f>
        <v>0</v>
      </c>
      <c r="F520" s="262" t="str">
        <f t="shared" si="20"/>
        <v/>
      </c>
      <c r="G520" s="262" t="str">
        <f t="shared" si="18"/>
        <v/>
      </c>
      <c r="H520" s="264" t="str">
        <f t="shared" si="19"/>
        <v/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f>'Prior Year'!AB71</f>
        <v>479710.34999999992</v>
      </c>
      <c r="C521" s="239">
        <f>AB71</f>
        <v>821475.08</v>
      </c>
      <c r="D521" s="181" t="s">
        <v>529</v>
      </c>
      <c r="E521" s="181" t="s">
        <v>529</v>
      </c>
      <c r="F521" s="262" t="str">
        <f t="shared" si="20"/>
        <v/>
      </c>
      <c r="G521" s="262" t="str">
        <f t="shared" si="18"/>
        <v/>
      </c>
      <c r="H521" s="264" t="str">
        <f t="shared" si="19"/>
        <v/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f>'Prior Year'!AC71</f>
        <v>530040.02</v>
      </c>
      <c r="C522" s="239">
        <f>AC71</f>
        <v>555323.15</v>
      </c>
      <c r="D522" s="239">
        <f>'Prior Year'!AC59</f>
        <v>0</v>
      </c>
      <c r="E522" s="180">
        <f>AC59</f>
        <v>0</v>
      </c>
      <c r="F522" s="262" t="str">
        <f t="shared" si="20"/>
        <v/>
      </c>
      <c r="G522" s="262" t="str">
        <f t="shared" si="18"/>
        <v/>
      </c>
      <c r="H522" s="264" t="str">
        <f t="shared" si="19"/>
        <v/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20"/>
        <v/>
      </c>
      <c r="G523" s="262" t="str">
        <f t="shared" si="18"/>
        <v/>
      </c>
      <c r="H523" s="264" t="str">
        <f t="shared" si="19"/>
        <v/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f>'Prior Year'!AE71</f>
        <v>-2565.62</v>
      </c>
      <c r="C524" s="239">
        <f>AE71</f>
        <v>12377.45</v>
      </c>
      <c r="D524" s="239">
        <f>'Prior Year'!AE59</f>
        <v>0</v>
      </c>
      <c r="E524" s="180">
        <f>AE59</f>
        <v>0</v>
      </c>
      <c r="F524" s="262" t="str">
        <f t="shared" si="20"/>
        <v/>
      </c>
      <c r="G524" s="262" t="str">
        <f t="shared" si="18"/>
        <v/>
      </c>
      <c r="H524" s="264" t="str">
        <f t="shared" si="19"/>
        <v/>
      </c>
      <c r="I524" s="266"/>
      <c r="K524" s="260"/>
      <c r="L524" s="260"/>
    </row>
    <row r="525" spans="1:12" ht="12.65" customHeight="1" x14ac:dyDescent="0.3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20"/>
        <v/>
      </c>
      <c r="G525" s="262" t="str">
        <f t="shared" si="18"/>
        <v/>
      </c>
      <c r="H525" s="264" t="str">
        <f t="shared" si="19"/>
        <v/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f>'Prior Year'!AG71</f>
        <v>3356774.33</v>
      </c>
      <c r="C526" s="239">
        <f>AG71</f>
        <v>3907695.08</v>
      </c>
      <c r="D526" s="239">
        <f>'Prior Year'!AG59</f>
        <v>18929</v>
      </c>
      <c r="E526" s="180">
        <f>AG59</f>
        <v>0</v>
      </c>
      <c r="F526" s="262">
        <f t="shared" si="20"/>
        <v>177.33500607533415</v>
      </c>
      <c r="G526" s="262" t="str">
        <f t="shared" si="18"/>
        <v/>
      </c>
      <c r="H526" s="264" t="str">
        <f t="shared" si="19"/>
        <v/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20"/>
        <v/>
      </c>
      <c r="G527" s="262" t="str">
        <f t="shared" si="18"/>
        <v/>
      </c>
      <c r="H527" s="264" t="str">
        <f t="shared" si="19"/>
        <v/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F540" si="21">IF(B528=0,"",IF(D528=0,"",B528/D528))</f>
        <v/>
      </c>
      <c r="G528" s="262" t="str">
        <f t="shared" si="18"/>
        <v/>
      </c>
      <c r="H528" s="264" t="str">
        <f t="shared" si="19"/>
        <v/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f>'Prior Year'!AJ71</f>
        <v>2377059.7299999995</v>
      </c>
      <c r="C529" s="239">
        <f>AJ71</f>
        <v>6266757</v>
      </c>
      <c r="D529" s="239">
        <f>'Prior Year'!AJ59</f>
        <v>12378</v>
      </c>
      <c r="E529" s="180">
        <f>AJ59</f>
        <v>0</v>
      </c>
      <c r="F529" s="262">
        <f t="shared" si="21"/>
        <v>192.03907981903373</v>
      </c>
      <c r="G529" s="262" t="str">
        <f t="shared" si="18"/>
        <v/>
      </c>
      <c r="H529" s="264" t="str">
        <f t="shared" si="19"/>
        <v/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21"/>
        <v/>
      </c>
      <c r="G530" s="262" t="str">
        <f t="shared" si="18"/>
        <v/>
      </c>
      <c r="H530" s="264" t="str">
        <f t="shared" si="19"/>
        <v/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f>'Prior Year'!AL71</f>
        <v>13279.699999999999</v>
      </c>
      <c r="C531" s="239">
        <f>AL71</f>
        <v>10624.04</v>
      </c>
      <c r="D531" s="239">
        <f>'Prior Year'!AL59</f>
        <v>0</v>
      </c>
      <c r="E531" s="180">
        <f>AL59</f>
        <v>0</v>
      </c>
      <c r="F531" s="262" t="str">
        <f t="shared" si="21"/>
        <v/>
      </c>
      <c r="G531" s="262" t="str">
        <f t="shared" si="18"/>
        <v/>
      </c>
      <c r="H531" s="264" t="str">
        <f t="shared" si="19"/>
        <v/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21"/>
        <v/>
      </c>
      <c r="G532" s="262" t="str">
        <f t="shared" si="18"/>
        <v/>
      </c>
      <c r="H532" s="264" t="str">
        <f t="shared" si="19"/>
        <v/>
      </c>
      <c r="I532" s="266"/>
      <c r="K532" s="260"/>
      <c r="L532" s="260"/>
    </row>
    <row r="533" spans="1:12" ht="12.65" customHeight="1" x14ac:dyDescent="0.3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21"/>
        <v/>
      </c>
      <c r="G533" s="262" t="str">
        <f t="shared" si="18"/>
        <v/>
      </c>
      <c r="H533" s="264" t="str">
        <f t="shared" si="19"/>
        <v/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21"/>
        <v/>
      </c>
      <c r="G534" s="262" t="str">
        <f t="shared" si="18"/>
        <v/>
      </c>
      <c r="H534" s="264" t="str">
        <f t="shared" si="19"/>
        <v/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21"/>
        <v/>
      </c>
      <c r="G535" s="262" t="str">
        <f t="shared" si="18"/>
        <v/>
      </c>
      <c r="H535" s="264" t="str">
        <f t="shared" si="19"/>
        <v/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21"/>
        <v/>
      </c>
      <c r="G536" s="262" t="str">
        <f t="shared" si="18"/>
        <v/>
      </c>
      <c r="H536" s="264" t="str">
        <f t="shared" si="19"/>
        <v/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21"/>
        <v/>
      </c>
      <c r="G537" s="262" t="str">
        <f t="shared" si="18"/>
        <v/>
      </c>
      <c r="H537" s="264" t="str">
        <f t="shared" si="19"/>
        <v/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21"/>
        <v/>
      </c>
      <c r="G538" s="262" t="str">
        <f t="shared" si="18"/>
        <v/>
      </c>
      <c r="H538" s="264" t="str">
        <f t="shared" si="19"/>
        <v/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21"/>
        <v/>
      </c>
      <c r="G539" s="262" t="str">
        <f t="shared" si="18"/>
        <v/>
      </c>
      <c r="H539" s="264" t="str">
        <f t="shared" si="19"/>
        <v/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21"/>
        <v/>
      </c>
      <c r="G540" s="262"/>
      <c r="H540" s="264" t="str">
        <f t="shared" si="19"/>
        <v/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f>'Prior Year'!AV71</f>
        <v>4764.26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f>'Prior Year'!AX71</f>
        <v>-3658.48</v>
      </c>
      <c r="C543" s="239">
        <f>AX71</f>
        <v>0</v>
      </c>
      <c r="D543" s="181" t="s">
        <v>529</v>
      </c>
      <c r="E543" s="181" t="s">
        <v>529</v>
      </c>
      <c r="F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f>'Prior Year'!AY71</f>
        <v>77021.62</v>
      </c>
      <c r="C544" s="239">
        <f>AY71</f>
        <v>235664.37</v>
      </c>
      <c r="D544" s="239">
        <f>'Prior Year'!AY59</f>
        <v>24026</v>
      </c>
      <c r="E544" s="180">
        <f>AY59</f>
        <v>29347</v>
      </c>
      <c r="F544" s="262">
        <f t="shared" ref="F544:F550" si="22">IF(B544=0,"",IF(D544=0,"",B544/D544))</f>
        <v>3.205761258636477</v>
      </c>
      <c r="G544" s="262">
        <f>IF(C544=0,"",IF(E544=0,"",C544/E544))</f>
        <v>8.030271237264456</v>
      </c>
      <c r="H544" s="264">
        <f>IF(B544=0,"",IF(C544=0,"",IF(D544=0,"",IF(E544=0,"",IF(G544/F544-1&lt;-0.25,G544/F544-1,IF(G544/F544-1&gt;0.25,G544/F544-1,""))))))</f>
        <v>1.5049498666285626</v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f>'Prior Year'!AZ71</f>
        <v>357617.17</v>
      </c>
      <c r="C545" s="239">
        <f>AZ71</f>
        <v>532826.69000000006</v>
      </c>
      <c r="D545" s="239">
        <f>'Prior Year'!AZ59</f>
        <v>24026</v>
      </c>
      <c r="E545" s="180">
        <f>AZ59</f>
        <v>0</v>
      </c>
      <c r="F545" s="262">
        <f t="shared" si="22"/>
        <v>14.884590443686006</v>
      </c>
      <c r="G545" s="262" t="str">
        <f>IF(C545=0,"",IF(E545=0,"",C545/E545))</f>
        <v/>
      </c>
      <c r="H545" s="264" t="str">
        <f>IF(B545=0,"",IF(C545=0,"",IF(D545=0,"",IF(E545=0,"",IF(G545/F545-1&lt;-0.25,G545/F545-1,IF(G545/F545-1&gt;0.25,G545/F545-1,""))))))</f>
        <v/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f>'Prior Year'!BA71</f>
        <v>56216.67</v>
      </c>
      <c r="C546" s="239">
        <f>BA71</f>
        <v>46.34</v>
      </c>
      <c r="D546" s="239">
        <f>'Prior Year'!BA59</f>
        <v>0</v>
      </c>
      <c r="E546" s="180">
        <f>BA59</f>
        <v>0</v>
      </c>
      <c r="F546" s="262" t="str">
        <f t="shared" si="22"/>
        <v/>
      </c>
      <c r="G546" s="262" t="str">
        <f>IF(C546=0,"",IF(E546=0,"",C546/E546))</f>
        <v/>
      </c>
      <c r="H546" s="264" t="str">
        <f>IF(B546=0,"",IF(C546=0,"",IF(D546=0,"",IF(E546=0,"",IF(G546/F546-1&lt;-0.25,G546/F546-1,IF(G546/F546-1&gt;0.25,G546/F546-1,""))))))</f>
        <v/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f>'Prior Year'!BD71</f>
        <v>435159.81000000006</v>
      </c>
      <c r="C549" s="239">
        <f>BD71</f>
        <v>200925.59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f>'Prior Year'!BE71</f>
        <v>855822.32</v>
      </c>
      <c r="C550" s="239">
        <f>BE71</f>
        <v>867626.87</v>
      </c>
      <c r="D550" s="239">
        <f>'Prior Year'!BE59</f>
        <v>70293</v>
      </c>
      <c r="E550" s="180">
        <f>BE59</f>
        <v>70293</v>
      </c>
      <c r="F550" s="262">
        <f t="shared" si="22"/>
        <v>12.175071771015606</v>
      </c>
      <c r="G550" s="262">
        <f>IF(C550=0,"",IF(E550=0,"",C550/E550))</f>
        <v>12.343005277908185</v>
      </c>
      <c r="H550" s="264" t="str">
        <f>IF(B550=0,"",IF(C550=0,"",IF(D550=0,"",IF(E550=0,"",IF(G550/F550-1&lt;-0.25,G550/F550-1,IF(G550/F550-1&gt;0.25,G550/F550-1,""))))))</f>
        <v/>
      </c>
      <c r="I550" s="266"/>
      <c r="K550" s="260"/>
      <c r="L550" s="260"/>
    </row>
    <row r="551" spans="1:13" ht="12.65" customHeight="1" x14ac:dyDescent="0.35">
      <c r="A551" s="180" t="s">
        <v>565</v>
      </c>
      <c r="B551" s="239">
        <f>'Prior Year'!BF71</f>
        <v>423457.04</v>
      </c>
      <c r="C551" s="239">
        <f>BF71</f>
        <v>455153.54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5">
      <c r="A552" s="180" t="s">
        <v>566</v>
      </c>
      <c r="B552" s="239">
        <f>'Prior Year'!BG71</f>
        <v>-13126.16</v>
      </c>
      <c r="C552" s="239">
        <f>BG71</f>
        <v>8928.93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f>'Prior Year'!BH71</f>
        <v>7699.67</v>
      </c>
      <c r="C553" s="239">
        <f>BH71</f>
        <v>37264.949999999997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f>'Prior Year'!BK71</f>
        <v>-43246.84</v>
      </c>
      <c r="C556" s="239">
        <f>BK71</f>
        <v>40732.07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f>'Prior Year'!BL71</f>
        <v>585821.24000000011</v>
      </c>
      <c r="C557" s="239">
        <f>BL71</f>
        <v>555500.36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f>'Prior Year'!BM71</f>
        <v>4199.67</v>
      </c>
      <c r="C558" s="239">
        <f>BM71</f>
        <v>110449.16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f>'Prior Year'!BN71</f>
        <v>2294038.67</v>
      </c>
      <c r="C559" s="239">
        <f>BN71</f>
        <v>2831696.12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f>'Prior Year'!BO71</f>
        <v>2916.71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f>'Prior Year'!BP71</f>
        <v>2969.2000000000003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f>'Prior Year'!BR71</f>
        <v>22396.44</v>
      </c>
      <c r="C563" s="239">
        <f>BR71</f>
        <v>35444.979999999996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1249</v>
      </c>
      <c r="B564" s="239">
        <f>'Prior Year'!BS71</f>
        <v>6483.4</v>
      </c>
      <c r="C564" s="239">
        <f>BS71</f>
        <v>3051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f>'Prior Year'!BT71</f>
        <v>7987</v>
      </c>
      <c r="C565" s="239">
        <f>BT71</f>
        <v>3864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f>'Prior Year'!BV71</f>
        <v>297190.99</v>
      </c>
      <c r="C567" s="239">
        <f>BV71</f>
        <v>444748.05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f>'Prior Year'!BX71</f>
        <v>232739.58</v>
      </c>
      <c r="C569" s="239">
        <f>BX71</f>
        <v>321476.34000000003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f>'Prior Year'!BY71</f>
        <v>455819.91</v>
      </c>
      <c r="C570" s="239">
        <f>BY71</f>
        <v>403716.87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f>'Prior Year'!CA71</f>
        <v>39915.619999999995</v>
      </c>
      <c r="C572" s="239">
        <f>CA71</f>
        <v>54358.559999999998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f>'Prior Year'!CC71</f>
        <v>1606253.9000000001</v>
      </c>
      <c r="C574" s="239">
        <f>CC71</f>
        <v>456739.04000000004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5">
      <c r="A575" s="180" t="s">
        <v>588</v>
      </c>
      <c r="B575" s="239">
        <f>'Prior Year'!CD71</f>
        <v>0</v>
      </c>
      <c r="C575" s="239">
        <f>CD71</f>
        <v>0</v>
      </c>
      <c r="D575" s="181" t="s">
        <v>529</v>
      </c>
      <c r="E575" s="181" t="s">
        <v>529</v>
      </c>
      <c r="F575" s="262"/>
      <c r="H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578" spans="13:13" ht="12.65" customHeight="1" x14ac:dyDescent="0.35">
      <c r="M578" s="264"/>
    </row>
    <row r="612" spans="1:14" ht="12.65" customHeight="1" x14ac:dyDescent="0.35">
      <c r="A612" s="196"/>
      <c r="C612" s="181" t="s">
        <v>589</v>
      </c>
      <c r="D612" s="180">
        <f>CE76-(BE76+CD76)</f>
        <v>67186</v>
      </c>
      <c r="E612" s="180">
        <f>SUM(C624:D647)+SUM(C668:D713)</f>
        <v>31733451.367231116</v>
      </c>
      <c r="F612" s="180">
        <f>CE64-(AX64+BD64+BE64+BG64+BJ64+BN64+BP64+BQ64+CB64+CC64+CD64)</f>
        <v>2708594.8199999994</v>
      </c>
      <c r="G612" s="180">
        <f>CE77-(AX77+AY77+BD77+BE77+BG77+BJ77+BN77+BP77+BQ77+CB77+CC77+CD77)</f>
        <v>29347</v>
      </c>
      <c r="H612" s="197">
        <f>CE60-(AX60+AY60+AZ60+BD60+BE60+BG60+BJ60+BN60+BO60+BP60+BQ60+BR60+CB60+CC60+CD60)</f>
        <v>219.5199999999999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230690</v>
      </c>
      <c r="K612" s="180">
        <f>CE75-(AW75+AX75+AY75+AZ75+BA75+BB75+BC75+BD75+BE75+BF75+BG75+BH75+BI75+BJ75+BK75+BL75+BM75+BN75+BO75+BP75+BQ75+BR75+BS75+BT75+BU75+BV75+BW75+BX75+CB75+CC75+CD75)</f>
        <v>142163295.29999998</v>
      </c>
      <c r="L612" s="197">
        <f>CE80-(AW80+AX80+AY80+AZ80+BA80+BB80+BC80+BD80+BE80+BF80+BG80+BH80+BI80+BJ80+BK80+BL80+BM80+BN80+BO80+BP80+BQ80+BR80+BS80+BT80+BU80+BV80+BW80+BX80+BY80+BZ80+CA80+CB80+CC80+CD80)</f>
        <v>69.739999999999995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867626.87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f>CD69-CD70</f>
        <v>0</v>
      </c>
      <c r="D615" s="265">
        <f>SUM(C614:C615)</f>
        <v>867626.87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8928.93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2831696.12</v>
      </c>
      <c r="D619" s="180">
        <f>(D615/D612)*BN76</f>
        <v>28319.973296668948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456739.04000000004</v>
      </c>
      <c r="D620" s="180">
        <f>(D615/D612)*CC76</f>
        <v>111807.71947221147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3437491.7827688805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200925.59</v>
      </c>
      <c r="D624" s="180">
        <f>(D615/D612)*BD76</f>
        <v>27480.576003334027</v>
      </c>
      <c r="E624" s="180">
        <f>(E623/E612)*SUM(C624:D624)</f>
        <v>24741.85078969911</v>
      </c>
      <c r="F624" s="180">
        <f>SUM(C624:E624)</f>
        <v>253148.01679303314</v>
      </c>
      <c r="G624" s="180">
        <f>SUM(C625:F625)</f>
        <v>304040.95453491597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235664.37</v>
      </c>
      <c r="D625" s="180">
        <f>(D615/D612)*AY76</f>
        <v>21475.656904861131</v>
      </c>
      <c r="E625" s="180">
        <f>(E623/E612)*SUM(C625:D625)</f>
        <v>27854.41518092126</v>
      </c>
      <c r="F625" s="180">
        <f>(F624/F612)*AY64</f>
        <v>19046.512449133628</v>
      </c>
      <c r="G625" s="180">
        <f>(G624/G612)*BR77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35444.979999999996</v>
      </c>
      <c r="D626" s="180">
        <f>(D615/D612)*BR76</f>
        <v>5268.8322412407342</v>
      </c>
      <c r="E626" s="180">
        <f>(E623/E612)*SUM(C626:D626)</f>
        <v>4410.2796574147624</v>
      </c>
      <c r="F626" s="180">
        <f>(F624/F612)*BR64</f>
        <v>313.27010162717221</v>
      </c>
      <c r="G626" s="180">
        <f>(G624/G612)*BO77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(G624/G612)*AZ77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532826.69000000006</v>
      </c>
      <c r="D628" s="180">
        <f>(D615/D612)*AZ76</f>
        <v>0</v>
      </c>
      <c r="E628" s="180">
        <f>(E623/E612)*SUM(C628:D628)</f>
        <v>57717.874659114204</v>
      </c>
      <c r="F628" s="180">
        <f>(F624/F612)*AZ64</f>
        <v>2839.7427966888449</v>
      </c>
      <c r="G628" s="180">
        <f>(G624/G612)*BF77</f>
        <v>0</v>
      </c>
      <c r="H628" s="180">
        <f>SUM(C626:G628)</f>
        <v>638821.66945608566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455153.54</v>
      </c>
      <c r="D629" s="180">
        <f>(D615/D612)*BF76</f>
        <v>10305.216001250259</v>
      </c>
      <c r="E629" s="180">
        <f>(E623/E612)*SUM(C629:D629)</f>
        <v>50420.31610291027</v>
      </c>
      <c r="F629" s="180">
        <f>(F624/F612)*BF64</f>
        <v>8193.2382445143248</v>
      </c>
      <c r="G629" s="180">
        <f>(G624/G612)*BA77</f>
        <v>0</v>
      </c>
      <c r="H629" s="180">
        <f>(H628/H612)*BF60</f>
        <v>21214.513348828656</v>
      </c>
      <c r="I629" s="180">
        <f>SUM(C629:H629)</f>
        <v>545286.82369750354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46.34</v>
      </c>
      <c r="D630" s="180">
        <f>(D615/D612)*BA76</f>
        <v>0</v>
      </c>
      <c r="E630" s="180">
        <f>(E623/E612)*SUM(C630:D630)</f>
        <v>5.0197303586713202</v>
      </c>
      <c r="F630" s="180">
        <f>(F624/F612)*BA64</f>
        <v>0</v>
      </c>
      <c r="G630" s="180">
        <f>(G624/G612)*AW77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(G624/G612)*BB77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(G624/G612)*BC77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(G624/G612)*BI77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(G624/G612)*BK77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40732.07</v>
      </c>
      <c r="D635" s="180">
        <f>(D615/D612)*BK76</f>
        <v>32284.511282112344</v>
      </c>
      <c r="E635" s="180">
        <f>(E623/E612)*SUM(C635:D635)</f>
        <v>7909.4421611612288</v>
      </c>
      <c r="F635" s="180">
        <f>(F624/F612)*BK64</f>
        <v>7.6834299123983625</v>
      </c>
      <c r="G635" s="180">
        <f>(G624/G612)*BH77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37264.949999999997</v>
      </c>
      <c r="D636" s="180">
        <f>(D615/D612)*BH76</f>
        <v>3615.8652635965823</v>
      </c>
      <c r="E636" s="180">
        <f>(E623/E612)*SUM(C636:D636)</f>
        <v>4428.3700791089686</v>
      </c>
      <c r="F636" s="180">
        <f>(F624/F612)*BH64</f>
        <v>497.64251200044185</v>
      </c>
      <c r="G636" s="180">
        <f>(G624/G612)*BL77</f>
        <v>0</v>
      </c>
      <c r="H636" s="180">
        <f>(H628/H612)*BH60</f>
        <v>669.31935119761192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555500.36</v>
      </c>
      <c r="D637" s="180">
        <f>(D615/D612)*BL76</f>
        <v>0</v>
      </c>
      <c r="E637" s="180">
        <f>(E623/E612)*SUM(C637:D637)</f>
        <v>60173.975428244434</v>
      </c>
      <c r="F637" s="180">
        <f>(F624/F612)*BL64</f>
        <v>867.8228939129516</v>
      </c>
      <c r="G637" s="180">
        <f>(G624/G612)*BM77</f>
        <v>0</v>
      </c>
      <c r="H637" s="180">
        <f>(H628/H612)*BL60</f>
        <v>32447.438112405969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110449.16</v>
      </c>
      <c r="D638" s="180">
        <f>(D615/D612)*BM76</f>
        <v>0</v>
      </c>
      <c r="E638" s="180">
        <f>(E623/E612)*SUM(C638:D638)</f>
        <v>11964.285747556019</v>
      </c>
      <c r="F638" s="180">
        <f>(F624/F612)*BM64</f>
        <v>0</v>
      </c>
      <c r="G638" s="180">
        <f>(G624/G612)*BS77</f>
        <v>0</v>
      </c>
      <c r="H638" s="180">
        <f>(H628/H612)*BM60</f>
        <v>3055.5883424238805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3051</v>
      </c>
      <c r="D639" s="180">
        <f>(D615/D612)*BS76</f>
        <v>3874.1413538534812</v>
      </c>
      <c r="E639" s="180">
        <f>(E623/E612)*SUM(C639:D639)</f>
        <v>750.1584439367399</v>
      </c>
      <c r="F639" s="180">
        <f>(F624/F612)*BS64</f>
        <v>0</v>
      </c>
      <c r="G639" s="180">
        <f>(G624/G612)*BT77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3864</v>
      </c>
      <c r="D640" s="180">
        <f>(D615/D612)*BT76</f>
        <v>4907.2457148810763</v>
      </c>
      <c r="E640" s="180">
        <f>(E623/E612)*SUM(C640:D640)</f>
        <v>950.13570130242238</v>
      </c>
      <c r="F640" s="180">
        <f>(F624/F612)*BT64</f>
        <v>0</v>
      </c>
      <c r="G640" s="180">
        <f>(G624/G612)*BU77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(G624/G612)*BV77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444748.05</v>
      </c>
      <c r="D642" s="180">
        <f>(D615/D612)*BV76</f>
        <v>17562.774137469114</v>
      </c>
      <c r="E642" s="180">
        <f>(E623/E612)*SUM(C642:D642)</f>
        <v>50079.319789926871</v>
      </c>
      <c r="F642" s="180">
        <f>(F624/F612)*BV64</f>
        <v>193.58953551571861</v>
      </c>
      <c r="G642" s="180">
        <f>(G624/G612)*BW77</f>
        <v>0</v>
      </c>
      <c r="H642" s="180">
        <f>(H628/H612)*BV60</f>
        <v>14492.21899549612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(G624/G612)*BX77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321476.34000000003</v>
      </c>
      <c r="D644" s="180">
        <f>(D615/D612)*BX76</f>
        <v>4184.0726621617596</v>
      </c>
      <c r="E644" s="180">
        <f>(E623/E612)*SUM(C644:D644)</f>
        <v>35276.811826881385</v>
      </c>
      <c r="F644" s="180">
        <f>(F624/F612)*BX64</f>
        <v>6342.2643699714499</v>
      </c>
      <c r="G644" s="180">
        <f>(G624/G612)*BY77</f>
        <v>0</v>
      </c>
      <c r="H644" s="180">
        <f>(H628/H612)*BX60</f>
        <v>6576.7901465504465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403716.87</v>
      </c>
      <c r="D645" s="180">
        <f>(D615/D612)*BY76</f>
        <v>0</v>
      </c>
      <c r="E645" s="180">
        <f>(E623/E612)*SUM(C645:D645)</f>
        <v>43732.193108475665</v>
      </c>
      <c r="F645" s="180">
        <f>(F624/F612)*BY64</f>
        <v>45.19400764431763</v>
      </c>
      <c r="G645" s="180">
        <f>(G624/G612)*BZ77</f>
        <v>0</v>
      </c>
      <c r="H645" s="180">
        <f>(H628/H612)*BY60</f>
        <v>9428.6725994794033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(G624/G612)*CA77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54358.559999999998</v>
      </c>
      <c r="D647" s="180">
        <f>(D615/D612)*CA76</f>
        <v>0</v>
      </c>
      <c r="E647" s="180">
        <f>(E623/E612)*SUM(C647:D647)</f>
        <v>5888.3321943387227</v>
      </c>
      <c r="F647" s="180">
        <f>(F624/F612)*CA64</f>
        <v>43.142538399978207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7600213.830000001</v>
      </c>
      <c r="L648" s="265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1722650.4899999998</v>
      </c>
      <c r="D668" s="180">
        <f>(D615/D612)*C76</f>
        <v>38741.413538534813</v>
      </c>
      <c r="E668" s="180">
        <f>(E623/E612)*SUM(C668:D668)</f>
        <v>190800.87206970752</v>
      </c>
      <c r="F668" s="180">
        <f>(F624/F612)*C64</f>
        <v>12578.37011325154</v>
      </c>
      <c r="G668" s="180">
        <f>(G624/G612)*C77</f>
        <v>8308.8849128361544</v>
      </c>
      <c r="H668" s="180">
        <f>(H628/H612)*C60</f>
        <v>32971.253256821488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3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(G624/G612)*D77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3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2102340.34</v>
      </c>
      <c r="D670" s="180">
        <f>(D615/D612)*E76</f>
        <v>120653.67556351025</v>
      </c>
      <c r="E670" s="180">
        <f>(E623/E612)*SUM(C670:D670)</f>
        <v>240803.42138689716</v>
      </c>
      <c r="F670" s="180">
        <f>(F624/F612)*E64</f>
        <v>4315.0015281050964</v>
      </c>
      <c r="G670" s="180">
        <f>(G624/G612)*E77</f>
        <v>132993.95963351335</v>
      </c>
      <c r="H670" s="180">
        <f>(H628/H612)*E60</f>
        <v>48045.489079445972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3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(G624/G612)*F77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3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(G624/G612)*G77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3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4320567.7300000004</v>
      </c>
      <c r="D673" s="180">
        <f>(D615/D612)*H76</f>
        <v>50002.251073735599</v>
      </c>
      <c r="E673" s="180">
        <f>(E623/E612)*SUM(C673:D673)</f>
        <v>473437.26410646026</v>
      </c>
      <c r="F673" s="180">
        <f>(F624/F612)*H64</f>
        <v>1256.5412678352438</v>
      </c>
      <c r="G673" s="180">
        <f>(G624/G612)*H77</f>
        <v>134838.07623511538</v>
      </c>
      <c r="H673" s="180">
        <f>(H628/H612)*H60</f>
        <v>95945.473952109838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3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(G624/G612)*I77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3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7098.47</v>
      </c>
      <c r="D675" s="180">
        <f>(D615/D612)*J76</f>
        <v>9039.6631589914559</v>
      </c>
      <c r="E675" s="180">
        <f>(E623/E612)*SUM(C675:D675)</f>
        <v>1748.1458124831613</v>
      </c>
      <c r="F675" s="180">
        <f>(F624/F612)*J64</f>
        <v>-1.9187546052978761</v>
      </c>
      <c r="G675" s="180">
        <f>(G624/G612)*J77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3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(G624/G612)*K77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3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(G624/G612)*L77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3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(G624/G612)*M77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3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(G624/G612)*N77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3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2441715.94</v>
      </c>
      <c r="D680" s="180">
        <f>(D615/D612)*O76</f>
        <v>114480.87700637037</v>
      </c>
      <c r="E680" s="180">
        <f>(E623/E612)*SUM(C680:D680)</f>
        <v>276897.25431734731</v>
      </c>
      <c r="F680" s="180">
        <f>(F624/F612)*O64</f>
        <v>9669.7409420190579</v>
      </c>
      <c r="G680" s="180">
        <f>(G624/G612)*O77</f>
        <v>27900.033753451076</v>
      </c>
      <c r="H680" s="180">
        <f>(H628/H612)*O60</f>
        <v>43011.043524785673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3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1386538.47</v>
      </c>
      <c r="D681" s="180">
        <f>(D615/D612)*P76</f>
        <v>31638.821056470097</v>
      </c>
      <c r="E681" s="180">
        <f>(E623/E612)*SUM(C681:D681)</f>
        <v>153622.52054152815</v>
      </c>
      <c r="F681" s="180">
        <f>(F624/F612)*P64</f>
        <v>37907.734700742309</v>
      </c>
      <c r="G681" s="180">
        <f>(G624/G612)*P77</f>
        <v>0</v>
      </c>
      <c r="H681" s="180">
        <f>(H628/H612)*P60</f>
        <v>45950.228501783873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3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314594.07999999996</v>
      </c>
      <c r="D682" s="180">
        <f>(D615/D612)*Q76</f>
        <v>50428.40662265948</v>
      </c>
      <c r="E682" s="180">
        <f>(E623/E612)*SUM(C682:D682)</f>
        <v>39540.665897657731</v>
      </c>
      <c r="F682" s="180">
        <f>(F624/F612)*Q64</f>
        <v>2334.6355535473831</v>
      </c>
      <c r="G682" s="180">
        <f>(G624/G612)*Q77</f>
        <v>0</v>
      </c>
      <c r="H682" s="180">
        <f>(H628/H612)*Q60</f>
        <v>5878.3699539964173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3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270742.83</v>
      </c>
      <c r="D683" s="180">
        <f>(D615/D612)*R76</f>
        <v>2066.2087220551898</v>
      </c>
      <c r="E683" s="180">
        <f>(E623/E612)*SUM(C683:D683)</f>
        <v>29551.74393165818</v>
      </c>
      <c r="F683" s="180">
        <f>(F624/F612)*R64</f>
        <v>1548.0788800142957</v>
      </c>
      <c r="G683" s="180">
        <f>(G624/G612)*R77</f>
        <v>0</v>
      </c>
      <c r="H683" s="180">
        <f>(H628/H612)*R60</f>
        <v>0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3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187337.74000000002</v>
      </c>
      <c r="D684" s="180">
        <f>(D615/D612)*S76</f>
        <v>0</v>
      </c>
      <c r="E684" s="180">
        <f>(E623/E612)*SUM(C684:D684)</f>
        <v>20293.157980208773</v>
      </c>
      <c r="F684" s="180">
        <f>(F624/F612)*S64</f>
        <v>16277.757965180001</v>
      </c>
      <c r="G684" s="180">
        <f>(G624/G612)*S77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3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(G624/G612)*T77</f>
        <v>0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3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1744002.51</v>
      </c>
      <c r="D686" s="180">
        <f>(D615/D612)*U76</f>
        <v>35396.738169707969</v>
      </c>
      <c r="E686" s="180">
        <f>(E623/E612)*SUM(C686:D686)</f>
        <v>192751.49819236956</v>
      </c>
      <c r="F686" s="180">
        <f>(F624/F612)*U64</f>
        <v>58157.551155252833</v>
      </c>
      <c r="G686" s="180">
        <f>(G624/G612)*U77</f>
        <v>0</v>
      </c>
      <c r="H686" s="180">
        <f>(H628/H612)*U60</f>
        <v>34106.186069721793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3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(G624/G612)*V77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3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123523.58</v>
      </c>
      <c r="D688" s="180">
        <f>(D615/D612)*W76</f>
        <v>0</v>
      </c>
      <c r="E688" s="180">
        <f>(E623/E612)*SUM(C688:D688)</f>
        <v>13380.558147124848</v>
      </c>
      <c r="F688" s="180">
        <f>(F624/F612)*W64</f>
        <v>0</v>
      </c>
      <c r="G688" s="180">
        <f>(G624/G612)*W77</f>
        <v>0</v>
      </c>
      <c r="H688" s="180">
        <f>(H628/H612)*W60</f>
        <v>785.72271662328365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3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129862.04</v>
      </c>
      <c r="D689" s="180">
        <f>(D615/D612)*X76</f>
        <v>0</v>
      </c>
      <c r="E689" s="180">
        <f>(E623/E612)*SUM(C689:D689)</f>
        <v>14067.164968212974</v>
      </c>
      <c r="F689" s="180">
        <f>(F624/F612)*X64</f>
        <v>2798.0900268426153</v>
      </c>
      <c r="G689" s="180">
        <f>(G624/G612)*X77</f>
        <v>0</v>
      </c>
      <c r="H689" s="180">
        <f>(H628/H612)*X60</f>
        <v>2735.4790875032832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3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1224869.46</v>
      </c>
      <c r="D690" s="180">
        <f>(D615/D612)*Y76</f>
        <v>52662.494803381654</v>
      </c>
      <c r="E690" s="180">
        <f>(E623/E612)*SUM(C690:D690)</f>
        <v>138387.26667456303</v>
      </c>
      <c r="F690" s="180">
        <f>(F624/F612)*Y64</f>
        <v>997.14863660826984</v>
      </c>
      <c r="G690" s="180">
        <f>(G624/G612)*Y77</f>
        <v>0</v>
      </c>
      <c r="H690" s="180">
        <f>(H628/H612)*Y60</f>
        <v>28373.320322507461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3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(G624/G612)*Z77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3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20633.84</v>
      </c>
      <c r="D692" s="180">
        <f>(D615/D612)*AA76</f>
        <v>0</v>
      </c>
      <c r="E692" s="180">
        <f>(E623/E612)*SUM(C692:D692)</f>
        <v>2235.1383915400652</v>
      </c>
      <c r="F692" s="180">
        <f>(F624/F612)*AA64</f>
        <v>0</v>
      </c>
      <c r="G692" s="180">
        <f>(G624/G612)*AA77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3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821475.08</v>
      </c>
      <c r="D693" s="180">
        <f>(D615/D612)*AB76</f>
        <v>13714.460392641324</v>
      </c>
      <c r="E693" s="180">
        <f>(E623/E612)*SUM(C693:D693)</f>
        <v>90471.00326184048</v>
      </c>
      <c r="F693" s="180">
        <f>(F624/F612)*AB64</f>
        <v>30936.823516274264</v>
      </c>
      <c r="G693" s="180">
        <f>(G624/G612)*AB77</f>
        <v>0</v>
      </c>
      <c r="H693" s="180">
        <f>(H628/H612)*AB60</f>
        <v>11203.823922220896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3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555323.15</v>
      </c>
      <c r="D694" s="180">
        <f>(D615/D612)*AC76</f>
        <v>10873.423399815438</v>
      </c>
      <c r="E694" s="180">
        <f>(E623/E612)*SUM(C694:D694)</f>
        <v>61332.631171142166</v>
      </c>
      <c r="F694" s="180">
        <f>(F624/F612)*AC64</f>
        <v>1214.0146375136346</v>
      </c>
      <c r="G694" s="180">
        <f>(G624/G612)*AC77</f>
        <v>0</v>
      </c>
      <c r="H694" s="180">
        <f>(H628/H612)*AC60</f>
        <v>14754.126567703881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3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(G624/G612)*AD77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3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12377.45</v>
      </c>
      <c r="D696" s="180">
        <f>(D615/D612)*AE76</f>
        <v>7102.5924820647151</v>
      </c>
      <c r="E696" s="180">
        <f>(E623/E612)*SUM(C696:D696)</f>
        <v>2110.1545238547101</v>
      </c>
      <c r="F696" s="180">
        <f>(F624/F612)*AE64</f>
        <v>19.123057953726178</v>
      </c>
      <c r="G696" s="180">
        <f>(G624/G612)*AE77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3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(G624/G612)*AF77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3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3907695.08</v>
      </c>
      <c r="D698" s="180">
        <f>(D615/D612)*AG76</f>
        <v>59739.259676420676</v>
      </c>
      <c r="E698" s="180">
        <f>(E623/E612)*SUM(C698:D698)</f>
        <v>429768.03195746284</v>
      </c>
      <c r="F698" s="180">
        <f>(F624/F612)*AG64</f>
        <v>19064.774731153855</v>
      </c>
      <c r="G698" s="180">
        <f>(G624/G612)*AG77</f>
        <v>0</v>
      </c>
      <c r="H698" s="180">
        <f>(H628/H612)*AG60</f>
        <v>72344.691612054914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3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(G624/G612)*AH77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3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(G624/G612)*AI77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3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6266757</v>
      </c>
      <c r="D701" s="180">
        <f>(D615/D612)*AJ76</f>
        <v>0</v>
      </c>
      <c r="E701" s="180">
        <f>(E623/E612)*SUM(C701:D701)</f>
        <v>678839.67119801475</v>
      </c>
      <c r="F701" s="180">
        <f>(F624/F612)*AJ64</f>
        <v>15684.44595602315</v>
      </c>
      <c r="G701" s="180">
        <f>(G624/G612)*AJ77</f>
        <v>0</v>
      </c>
      <c r="H701" s="180">
        <f>(H628/H612)*AJ60</f>
        <v>114831.91999242506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3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(G624/G612)*AK77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3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10624.04</v>
      </c>
      <c r="D703" s="180">
        <f>(D615/D612)*AL76</f>
        <v>0</v>
      </c>
      <c r="E703" s="180">
        <f>(E623/E612)*SUM(C703:D703)</f>
        <v>1150.8376374565914</v>
      </c>
      <c r="F703" s="180">
        <f>(F624/F612)*AL64</f>
        <v>0</v>
      </c>
      <c r="G703" s="180">
        <f>(G624/G612)*AL77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3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(G624/G612)*AM77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3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(G624/G612)*AN77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3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(G624/G612)*AO77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3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(G624/G612)*AP77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3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(G624/G612)*AQ77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3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(G624/G612)*AR77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3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(G624/G612)*AS77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3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(G624/G612)*AT77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3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(G624/G612)*AU77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3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(G624/G612)*AV77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3"/>
        <v>#DIV/0!</v>
      </c>
      <c r="N713" s="199" t="s">
        <v>741</v>
      </c>
    </row>
    <row r="715" spans="1:83" ht="12.65" customHeight="1" x14ac:dyDescent="0.35">
      <c r="C715" s="180">
        <f>SUM(C614:C647)+SUM(C668:C713)</f>
        <v>35170943.149999991</v>
      </c>
      <c r="D715" s="180">
        <f>SUM(D616:D647)+SUM(D668:D713)</f>
        <v>867626.87000000011</v>
      </c>
      <c r="E715" s="180">
        <f>SUM(E624:E647)+SUM(E668:E713)</f>
        <v>3437491.7827688809</v>
      </c>
      <c r="F715" s="180">
        <f>SUM(F625:F648)+SUM(F668:F713)</f>
        <v>253148.0167930332</v>
      </c>
      <c r="G715" s="180">
        <f>SUM(G625:G646)+SUM(G668:G713)</f>
        <v>304040.95453491597</v>
      </c>
      <c r="H715" s="180">
        <f>SUM(H629:H647)+SUM(H668:H713)</f>
        <v>638821.66945608589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35170943.149999991</v>
      </c>
      <c r="D716" s="180">
        <f>D615</f>
        <v>867626.87</v>
      </c>
      <c r="E716" s="180">
        <f>E623</f>
        <v>3437491.7827688805</v>
      </c>
      <c r="F716" s="180">
        <f>F624</f>
        <v>253148.01679303314</v>
      </c>
      <c r="G716" s="180">
        <f>G624</f>
        <v>304040.95453491597</v>
      </c>
      <c r="H716" s="180">
        <f>H628</f>
        <v>638821.66945608566</v>
      </c>
      <c r="I716" s="180">
        <f>I629</f>
        <v>545286.82369750354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7600213.830000001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199*2020*A</v>
      </c>
      <c r="B722" s="273">
        <f>ROUND(C165,0)</f>
        <v>1120693</v>
      </c>
      <c r="C722" s="273">
        <f>ROUND(C166,0)</f>
        <v>85325</v>
      </c>
      <c r="D722" s="273">
        <f>ROUND(C167,0)</f>
        <v>3176559</v>
      </c>
      <c r="E722" s="273">
        <f>ROUND(C168,0)</f>
        <v>-2345424</v>
      </c>
      <c r="F722" s="273">
        <f>ROUND(C169,0)</f>
        <v>0</v>
      </c>
      <c r="G722" s="273">
        <f>ROUND(C170,0)</f>
        <v>454731</v>
      </c>
      <c r="H722" s="273">
        <f>ROUND(C171+C172,0)</f>
        <v>0</v>
      </c>
      <c r="I722" s="273">
        <f>ROUND(C175,0)</f>
        <v>371024</v>
      </c>
      <c r="J722" s="273">
        <f>ROUND(C176,0)</f>
        <v>19630</v>
      </c>
      <c r="K722" s="273">
        <f>ROUND(C179,0)</f>
        <v>70740</v>
      </c>
      <c r="L722" s="273">
        <f>ROUND(C180,0)</f>
        <v>106773</v>
      </c>
      <c r="M722" s="273">
        <f>ROUND(C183,0)</f>
        <v>0</v>
      </c>
      <c r="N722" s="273">
        <f>ROUND(C184,0)</f>
        <v>42244</v>
      </c>
      <c r="O722" s="273">
        <f>ROUND(C185,0)</f>
        <v>1028447</v>
      </c>
      <c r="P722" s="273">
        <f>ROUND(C188,0)</f>
        <v>0</v>
      </c>
      <c r="Q722" s="273">
        <f>ROUND(C189,0)</f>
        <v>1328423</v>
      </c>
      <c r="R722" s="273">
        <f>ROUND(B195,0)</f>
        <v>550000</v>
      </c>
      <c r="S722" s="273">
        <f>ROUND(C195,0)</f>
        <v>0</v>
      </c>
      <c r="T722" s="273">
        <f>ROUND(D195,0)</f>
        <v>0</v>
      </c>
      <c r="U722" s="273">
        <f>ROUND(B196,0)</f>
        <v>26953</v>
      </c>
      <c r="V722" s="273">
        <f>ROUND(C196,0)</f>
        <v>0</v>
      </c>
      <c r="W722" s="273">
        <f>ROUND(D196,0)</f>
        <v>0</v>
      </c>
      <c r="X722" s="273">
        <f>ROUND(B197,0)</f>
        <v>6744017</v>
      </c>
      <c r="Y722" s="273">
        <f>ROUND(C197,0)</f>
        <v>1214242</v>
      </c>
      <c r="Z722" s="273">
        <f>ROUND(D197,0)</f>
        <v>0</v>
      </c>
      <c r="AA722" s="273">
        <f>ROUND(B198,0)</f>
        <v>82397</v>
      </c>
      <c r="AB722" s="273">
        <f>ROUND(C198,0)</f>
        <v>282775</v>
      </c>
      <c r="AC722" s="273">
        <f>ROUND(D198,0)</f>
        <v>0</v>
      </c>
      <c r="AD722" s="273">
        <f>ROUND(B199,0)</f>
        <v>0</v>
      </c>
      <c r="AE722" s="273">
        <f>ROUND(C199,0)</f>
        <v>0</v>
      </c>
      <c r="AF722" s="273">
        <f>ROUND(D199,0)</f>
        <v>0</v>
      </c>
      <c r="AG722" s="273">
        <f>ROUND(B200,0)</f>
        <v>1595897</v>
      </c>
      <c r="AH722" s="273">
        <f>ROUND(C200,0)</f>
        <v>-280257</v>
      </c>
      <c r="AI722" s="273">
        <f>ROUND(D200,0)</f>
        <v>0</v>
      </c>
      <c r="AJ722" s="273">
        <f>ROUND(B201,0)</f>
        <v>233940</v>
      </c>
      <c r="AK722" s="273">
        <f>ROUND(C201,0)</f>
        <v>154136</v>
      </c>
      <c r="AL722" s="273">
        <f>ROUND(D201,0)</f>
        <v>0</v>
      </c>
      <c r="AM722" s="273">
        <f>ROUND(B202,0)</f>
        <v>0</v>
      </c>
      <c r="AN722" s="273">
        <f>ROUND(C202,0)</f>
        <v>0</v>
      </c>
      <c r="AO722" s="273">
        <f>ROUND(D202,0)</f>
        <v>0</v>
      </c>
      <c r="AP722" s="273">
        <f>ROUND(B203,0)</f>
        <v>1207200</v>
      </c>
      <c r="AQ722" s="273">
        <f>ROUND(C203,0)</f>
        <v>-1152123</v>
      </c>
      <c r="AR722" s="273">
        <f>ROUND(D203,0)</f>
        <v>0</v>
      </c>
      <c r="AS722" s="273"/>
      <c r="AT722" s="273"/>
      <c r="AU722" s="273"/>
      <c r="AV722" s="273">
        <f>ROUND(B209,0)</f>
        <v>863</v>
      </c>
      <c r="AW722" s="273">
        <f>ROUND(C209,0)</f>
        <v>1221</v>
      </c>
      <c r="AX722" s="273">
        <f>ROUND(D209,0)</f>
        <v>0</v>
      </c>
      <c r="AY722" s="273">
        <f>ROUND(B210,0)</f>
        <v>1043497</v>
      </c>
      <c r="AZ722" s="273">
        <f>ROUND(C210,0)</f>
        <v>319715</v>
      </c>
      <c r="BA722" s="273">
        <f>ROUND(D210,0)</f>
        <v>0</v>
      </c>
      <c r="BB722" s="273">
        <f>ROUND(B211,0)</f>
        <v>0</v>
      </c>
      <c r="BC722" s="273">
        <f>ROUND(C211,0)</f>
        <v>284579</v>
      </c>
      <c r="BD722" s="273">
        <f>ROUND(D211,0)</f>
        <v>0</v>
      </c>
      <c r="BE722" s="273">
        <f>ROUND(B212,0)</f>
        <v>0</v>
      </c>
      <c r="BF722" s="273">
        <f>ROUND(C212,0)</f>
        <v>0</v>
      </c>
      <c r="BG722" s="273">
        <f>ROUND(D212,0)</f>
        <v>0</v>
      </c>
      <c r="BH722" s="273">
        <f>ROUND(B213,0)</f>
        <v>991448</v>
      </c>
      <c r="BI722" s="273">
        <f>ROUND(C213,0)</f>
        <v>-250511</v>
      </c>
      <c r="BJ722" s="273">
        <f>ROUND(D213,0)</f>
        <v>0</v>
      </c>
      <c r="BK722" s="273">
        <f>ROUND(B214,0)</f>
        <v>-28377</v>
      </c>
      <c r="BL722" s="273">
        <f>ROUND(C214,0)</f>
        <v>198467</v>
      </c>
      <c r="BM722" s="273">
        <f>ROUND(D214,0)</f>
        <v>0</v>
      </c>
      <c r="BN722" s="273">
        <f>ROUND(B215,0)</f>
        <v>0</v>
      </c>
      <c r="BO722" s="273">
        <f>ROUND(C215,0)</f>
        <v>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14833948</v>
      </c>
      <c r="BU722" s="273">
        <f>ROUND(C224,0)</f>
        <v>51540531</v>
      </c>
      <c r="BV722" s="273">
        <f>ROUND(C225,0)</f>
        <v>0</v>
      </c>
      <c r="BW722" s="273">
        <f>ROUND(C226,0)</f>
        <v>0</v>
      </c>
      <c r="BX722" s="273">
        <f>ROUND(C227,0)</f>
        <v>0</v>
      </c>
      <c r="BY722" s="273">
        <f>ROUND(C228,0)</f>
        <v>34202226</v>
      </c>
      <c r="BZ722" s="273">
        <f>ROUND(C231,0)</f>
        <v>0</v>
      </c>
      <c r="CA722" s="273">
        <f>ROUND(C233,0)</f>
        <v>614309</v>
      </c>
      <c r="CB722" s="273">
        <f>ROUND(C234,0)</f>
        <v>0</v>
      </c>
      <c r="CC722" s="273">
        <f>ROUND(C238+C239,0)</f>
        <v>0</v>
      </c>
      <c r="CD722" s="273">
        <f>D221</f>
        <v>3852695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199*2020*A</v>
      </c>
      <c r="B726" s="273">
        <f>ROUND(C111,0)</f>
        <v>1280</v>
      </c>
      <c r="C726" s="273">
        <f>ROUND(C112,0)</f>
        <v>0</v>
      </c>
      <c r="D726" s="273">
        <f>ROUND(C113,0)</f>
        <v>0</v>
      </c>
      <c r="E726" s="273">
        <f>ROUND(C114,0)</f>
        <v>349</v>
      </c>
      <c r="F726" s="273">
        <f>ROUND(D111,0)</f>
        <v>7484</v>
      </c>
      <c r="G726" s="273">
        <f>ROUND(D112,0)</f>
        <v>0</v>
      </c>
      <c r="H726" s="273">
        <f>ROUND(D113,0)</f>
        <v>0</v>
      </c>
      <c r="I726" s="273">
        <f>ROUND(D114,0)</f>
        <v>980</v>
      </c>
      <c r="J726" s="273">
        <f>ROUND(C116,0)</f>
        <v>7</v>
      </c>
      <c r="K726" s="273">
        <f>ROUND(C117,0)</f>
        <v>0</v>
      </c>
      <c r="L726" s="273">
        <f>ROUND(C118,0)</f>
        <v>13</v>
      </c>
      <c r="M726" s="273">
        <f>ROUND(C119,0)</f>
        <v>0</v>
      </c>
      <c r="N726" s="273">
        <f>ROUND(C120,0)</f>
        <v>16</v>
      </c>
      <c r="O726" s="273">
        <f>ROUND(C121,0)</f>
        <v>0</v>
      </c>
      <c r="P726" s="273">
        <f>ROUND(C122,0)</f>
        <v>15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0</v>
      </c>
      <c r="V726" s="273">
        <f>ROUND(C128,0)</f>
        <v>78</v>
      </c>
      <c r="W726" s="273">
        <f>ROUND(C129,0)</f>
        <v>16</v>
      </c>
      <c r="X726" s="273">
        <f>ROUND(B138,0)</f>
        <v>163</v>
      </c>
      <c r="Y726" s="273">
        <f>ROUND(B139,0)</f>
        <v>1097</v>
      </c>
      <c r="Z726" s="273">
        <f>ROUND(B140,0)</f>
        <v>8870</v>
      </c>
      <c r="AA726" s="273">
        <f>ROUND(B141,0)</f>
        <v>9809910</v>
      </c>
      <c r="AB726" s="273">
        <f>ROUND(B142,0)</f>
        <v>11157599</v>
      </c>
      <c r="AC726" s="273">
        <f>ROUND(C138,0)</f>
        <v>1047</v>
      </c>
      <c r="AD726" s="273">
        <f>ROUND(C139,0)</f>
        <v>4959</v>
      </c>
      <c r="AE726" s="273">
        <f>ROUND(C140,0)</f>
        <v>3292</v>
      </c>
      <c r="AF726" s="273">
        <f>ROUND(C141,0)</f>
        <v>25606931</v>
      </c>
      <c r="AG726" s="273">
        <f>ROUND(C142,0)</f>
        <v>47244648</v>
      </c>
      <c r="AH726" s="273">
        <f>ROUND(D138,0)</f>
        <v>419</v>
      </c>
      <c r="AI726" s="273">
        <f>ROUND(D139,0)</f>
        <v>2408</v>
      </c>
      <c r="AJ726" s="273">
        <f>ROUND(D140,0)</f>
        <v>32248</v>
      </c>
      <c r="AK726" s="273">
        <f>ROUND(D141,0)</f>
        <v>10138411</v>
      </c>
      <c r="AL726" s="273">
        <f>ROUND(D142,0)</f>
        <v>38205797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199*2020*A</v>
      </c>
      <c r="B730" s="273">
        <f>ROUND(C250,0)</f>
        <v>1635664</v>
      </c>
      <c r="C730" s="273">
        <f>ROUND(C251,0)</f>
        <v>0</v>
      </c>
      <c r="D730" s="273">
        <f>ROUND(C252,0)</f>
        <v>38323727</v>
      </c>
      <c r="E730" s="273">
        <f>ROUND(C253,0)</f>
        <v>32594442</v>
      </c>
      <c r="F730" s="273">
        <f>ROUND(C254,0)</f>
        <v>368439</v>
      </c>
      <c r="G730" s="273">
        <f>ROUND(C255,0)</f>
        <v>0</v>
      </c>
      <c r="H730" s="273">
        <f>ROUND(C256,0)</f>
        <v>0</v>
      </c>
      <c r="I730" s="273">
        <f>ROUND(C257,0)</f>
        <v>1111635</v>
      </c>
      <c r="J730" s="273">
        <f>ROUND(C258,0)</f>
        <v>556611</v>
      </c>
      <c r="K730" s="273">
        <f>ROUND(C260,0)</f>
        <v>107573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550000</v>
      </c>
      <c r="P730" s="273">
        <f>ROUND(C268,0)</f>
        <v>26953</v>
      </c>
      <c r="Q730" s="273">
        <f>ROUND(C269,0)</f>
        <v>7958259</v>
      </c>
      <c r="R730" s="273">
        <f>ROUND(C270,0)</f>
        <v>365172</v>
      </c>
      <c r="S730" s="273">
        <f>ROUND(C271,0)</f>
        <v>0</v>
      </c>
      <c r="T730" s="273">
        <f>ROUND(C272,0)</f>
        <v>1703716</v>
      </c>
      <c r="U730" s="273">
        <f>ROUND(C273,0)</f>
        <v>0</v>
      </c>
      <c r="V730" s="273">
        <f>ROUND(C274,0)</f>
        <v>55076</v>
      </c>
      <c r="W730" s="273">
        <f>ROUND(C275,0)</f>
        <v>0</v>
      </c>
      <c r="X730" s="273">
        <f>ROUND(C276,0)</f>
        <v>2560901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0</v>
      </c>
      <c r="AC730" s="273">
        <f>ROUND(C286,0)</f>
        <v>0</v>
      </c>
      <c r="AD730" s="273">
        <f>ROUND(C287,0)</f>
        <v>0</v>
      </c>
      <c r="AE730" s="273">
        <f>ROUND(C288,0)</f>
        <v>0</v>
      </c>
      <c r="AF730" s="273">
        <f>ROUND(C289,0)</f>
        <v>0</v>
      </c>
      <c r="AG730" s="273">
        <f>ROUND(C304,0)</f>
        <v>0</v>
      </c>
      <c r="AH730" s="273">
        <f>ROUND(C305,0)</f>
        <v>2437077</v>
      </c>
      <c r="AI730" s="273">
        <f>ROUND(C306,0)</f>
        <v>1029175</v>
      </c>
      <c r="AJ730" s="273">
        <f>ROUND(C307,0)</f>
        <v>3478346</v>
      </c>
      <c r="AK730" s="273">
        <f>ROUND(C308,0)</f>
        <v>0</v>
      </c>
      <c r="AL730" s="273">
        <f>ROUND(C309,0)</f>
        <v>0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437300</v>
      </c>
      <c r="AQ730" s="273">
        <f>ROUND(C316,0)</f>
        <v>0</v>
      </c>
      <c r="AR730" s="273">
        <f>ROUND(C317,0)</f>
        <v>0</v>
      </c>
      <c r="AS730" s="273">
        <f>ROUND(C318,0)</f>
        <v>0</v>
      </c>
      <c r="AT730" s="273">
        <f>ROUND(C321,0)</f>
        <v>0</v>
      </c>
      <c r="AU730" s="273">
        <f>ROUND(C322,0)</f>
        <v>3645728</v>
      </c>
      <c r="AV730" s="273">
        <f>ROUND(C323,0)</f>
        <v>10200282</v>
      </c>
      <c r="AW730" s="273">
        <f>ROUND(C324,0)</f>
        <v>0</v>
      </c>
      <c r="AX730" s="273">
        <f>ROUND(C325,0)</f>
        <v>0</v>
      </c>
      <c r="AY730" s="273">
        <f>ROUND(C326,0)</f>
        <v>-963431</v>
      </c>
      <c r="AZ730" s="273">
        <f>ROUND(C327,0)</f>
        <v>0</v>
      </c>
      <c r="BA730" s="273">
        <f>ROUND(C328,0)</f>
        <v>0</v>
      </c>
      <c r="BB730" s="273">
        <f>ROUND(C332,0)</f>
        <v>0</v>
      </c>
      <c r="BC730" s="273"/>
      <c r="BD730" s="273"/>
      <c r="BE730" s="273">
        <f>ROUND(C337,0)</f>
        <v>-2656996</v>
      </c>
      <c r="BF730" s="273">
        <f>ROUND(C336,0)</f>
        <v>0</v>
      </c>
      <c r="BG730" s="273"/>
      <c r="BH730" s="273"/>
      <c r="BI730" s="273">
        <f>ROUND(CE60,2)</f>
        <v>234.89</v>
      </c>
      <c r="BJ730" s="273">
        <f>ROUND(C359,0)</f>
        <v>45555251</v>
      </c>
      <c r="BK730" s="273">
        <f>ROUND(C360,0)</f>
        <v>96608044</v>
      </c>
      <c r="BL730" s="273">
        <f>ROUND(C364,0)</f>
        <v>100605902</v>
      </c>
      <c r="BM730" s="273">
        <f>ROUND(C365,0)</f>
        <v>614309</v>
      </c>
      <c r="BN730" s="273">
        <f>ROUND(C366,0)</f>
        <v>-29197</v>
      </c>
      <c r="BO730" s="273">
        <f>ROUND(C370,0)</f>
        <v>196650</v>
      </c>
      <c r="BP730" s="273">
        <f>ROUND(C371,0)</f>
        <v>0</v>
      </c>
      <c r="BQ730" s="273">
        <f>ROUND(C378,0)</f>
        <v>15560911</v>
      </c>
      <c r="BR730" s="273">
        <f>ROUND(C379,0)</f>
        <v>2491885</v>
      </c>
      <c r="BS730" s="273">
        <f>ROUND(C380,0)</f>
        <v>2945720</v>
      </c>
      <c r="BT730" s="273">
        <f>ROUND(C381,0)</f>
        <v>2782613</v>
      </c>
      <c r="BU730" s="273">
        <f>ROUND(C382,0)</f>
        <v>440092</v>
      </c>
      <c r="BV730" s="273">
        <f>ROUND(C383,0)</f>
        <v>8223836</v>
      </c>
      <c r="BW730" s="273">
        <f>ROUND(C384,0)</f>
        <v>714847</v>
      </c>
      <c r="BX730" s="273">
        <f>ROUND(C385,0)</f>
        <v>390654</v>
      </c>
      <c r="BY730" s="273">
        <f>ROUND(C386,0)</f>
        <v>177513</v>
      </c>
      <c r="BZ730" s="273">
        <f>ROUND(C387,0)</f>
        <v>1070691</v>
      </c>
      <c r="CA730" s="273">
        <f>ROUND(C388,0)</f>
        <v>1328423</v>
      </c>
      <c r="CB730" s="273">
        <f>C363</f>
        <v>3852695.08</v>
      </c>
      <c r="CC730" s="273">
        <f>ROUND(C389,0)</f>
        <v>655548</v>
      </c>
      <c r="CD730" s="273">
        <f>ROUND(C392,0)</f>
        <v>9757516</v>
      </c>
      <c r="CE730" s="273">
        <f>ROUND(C394,0)</f>
        <v>0</v>
      </c>
      <c r="CF730" s="201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199*2020*6000*A</v>
      </c>
      <c r="B734" s="273">
        <f>ROUND(C59,0)</f>
        <v>220</v>
      </c>
      <c r="C734" s="273">
        <f>ROUND(C60,2)</f>
        <v>11.33</v>
      </c>
      <c r="D734" s="273">
        <f>ROUND(C61,0)</f>
        <v>854951</v>
      </c>
      <c r="E734" s="273">
        <f>ROUND(C62,0)</f>
        <v>265953</v>
      </c>
      <c r="F734" s="273">
        <f>ROUND(C63,0)</f>
        <v>17725</v>
      </c>
      <c r="G734" s="273">
        <f>ROUND(C64,0)</f>
        <v>134584</v>
      </c>
      <c r="H734" s="273">
        <f>ROUND(C65,0)</f>
        <v>0</v>
      </c>
      <c r="I734" s="273">
        <f>ROUND(C66,0)</f>
        <v>421043</v>
      </c>
      <c r="J734" s="273">
        <f>ROUND(C67,0)</f>
        <v>30509</v>
      </c>
      <c r="K734" s="273">
        <f>ROUND(C68,0)</f>
        <v>-6527</v>
      </c>
      <c r="L734" s="273">
        <f>ROUND(C69,0)</f>
        <v>4411</v>
      </c>
      <c r="M734" s="273">
        <f>ROUND(C70,0)</f>
        <v>0</v>
      </c>
      <c r="N734" s="273">
        <f>ROUND(C75,0)</f>
        <v>1457435</v>
      </c>
      <c r="O734" s="273">
        <f>ROUND(C73,0)</f>
        <v>1399840</v>
      </c>
      <c r="P734" s="273">
        <f>IF(C76&gt;0,ROUND(C76,0),0)</f>
        <v>3000</v>
      </c>
      <c r="Q734" s="273">
        <f>IF(C77&gt;0,ROUND(C77,0),0)</f>
        <v>802</v>
      </c>
      <c r="R734" s="273">
        <f>IF(C78&gt;0,ROUND(C78,0),0)</f>
        <v>0</v>
      </c>
      <c r="S734" s="273">
        <f>IF(C79&gt;0,ROUND(C79,0),0)</f>
        <v>36033</v>
      </c>
      <c r="T734" s="273">
        <f>IF(C80&gt;0,ROUND(C80,2),0)</f>
        <v>7.06</v>
      </c>
      <c r="U734" s="273"/>
      <c r="V734" s="273"/>
      <c r="W734" s="273"/>
      <c r="X734" s="273"/>
      <c r="Y734" s="273" t="e">
        <f>IF(M668&lt;&gt;0,ROUND(M668,0),0)</f>
        <v>#DIV/0!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9" t="str">
        <f>RIGHT($C$83,3)&amp;"*"&amp;RIGHT($C$82,4)&amp;"*"&amp;D$55&amp;"*"&amp;"A"</f>
        <v>199*2020*6030*A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 t="e">
        <f t="shared" ref="Y735:Y779" si="24">IF(M669&lt;&gt;0,ROUND(M669,0),0)</f>
        <v>#DIV/0!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9" t="str">
        <f>RIGHT($C$83,3)&amp;"*"&amp;RIGHT($C$82,4)&amp;"*"&amp;E$55&amp;"*"&amp;"A"</f>
        <v>199*2020*6011,6012*A</v>
      </c>
      <c r="B736" s="273">
        <f>ROUND(E59,0)</f>
        <v>2954</v>
      </c>
      <c r="C736" s="275">
        <f>ROUND(E60,2)</f>
        <v>16.510000000000002</v>
      </c>
      <c r="D736" s="273">
        <f>ROUND(E61,0)</f>
        <v>977665</v>
      </c>
      <c r="E736" s="273">
        <f>ROUND(E62,0)</f>
        <v>300176</v>
      </c>
      <c r="F736" s="273">
        <f>ROUND(E63,0)</f>
        <v>741386</v>
      </c>
      <c r="G736" s="273">
        <f>ROUND(E64,0)</f>
        <v>46169</v>
      </c>
      <c r="H736" s="273">
        <f>ROUND(E65,0)</f>
        <v>0</v>
      </c>
      <c r="I736" s="273">
        <f>ROUND(E66,0)</f>
        <v>-53043</v>
      </c>
      <c r="J736" s="273">
        <f>ROUND(E67,0)</f>
        <v>95014</v>
      </c>
      <c r="K736" s="273">
        <f>ROUND(E68,0)</f>
        <v>-6527</v>
      </c>
      <c r="L736" s="273">
        <f>ROUND(E69,0)</f>
        <v>1500</v>
      </c>
      <c r="M736" s="273">
        <f>ROUND(E70,0)</f>
        <v>0</v>
      </c>
      <c r="N736" s="273">
        <f>ROUND(E75,0)</f>
        <v>8887082</v>
      </c>
      <c r="O736" s="273">
        <f>ROUND(E73,0)</f>
        <v>8141779</v>
      </c>
      <c r="P736" s="273">
        <f>IF(E76&gt;0,ROUND(E76,0),0)</f>
        <v>9343</v>
      </c>
      <c r="Q736" s="273">
        <f>IF(E77&gt;0,ROUND(E77,0),0)</f>
        <v>12837</v>
      </c>
      <c r="R736" s="273">
        <f>IF(E78&gt;0,ROUND(E78,0),0)</f>
        <v>0</v>
      </c>
      <c r="S736" s="273">
        <f>IF(E79&gt;0,ROUND(E79,0),0)</f>
        <v>48913</v>
      </c>
      <c r="T736" s="275">
        <f>IF(E80&gt;0,ROUND(E80,2),0)</f>
        <v>13.73</v>
      </c>
      <c r="U736" s="273"/>
      <c r="V736" s="274"/>
      <c r="W736" s="273"/>
      <c r="X736" s="273"/>
      <c r="Y736" s="273" t="e">
        <f t="shared" si="24"/>
        <v>#DIV/0!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str">
        <f>RIGHT($C$83,3)&amp;"*"&amp;RIGHT($C$82,4)&amp;"*"&amp;F$55&amp;"*"&amp;"A"</f>
        <v>199*2020*6100*A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 t="e">
        <f t="shared" si="24"/>
        <v>#DIV/0!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str">
        <f>RIGHT($C$83,3)&amp;"*"&amp;RIGHT($C$82,4)&amp;"*"&amp;G$55&amp;"*"&amp;"A"</f>
        <v>199*2020*6120*A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 t="e">
        <f t="shared" si="24"/>
        <v>#DIV/0!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str">
        <f>RIGHT($C$83,3)&amp;"*"&amp;RIGHT($C$82,4)&amp;"*"&amp;H$55&amp;"*"&amp;"A"</f>
        <v>199*2020*6140*A</v>
      </c>
      <c r="B739" s="273">
        <f>ROUND(H59,0)</f>
        <v>3571</v>
      </c>
      <c r="C739" s="275">
        <f>ROUND(H60,2)</f>
        <v>32.97</v>
      </c>
      <c r="D739" s="273">
        <f>ROUND(H61,0)</f>
        <v>1720066</v>
      </c>
      <c r="E739" s="273">
        <f>ROUND(H62,0)</f>
        <v>603181</v>
      </c>
      <c r="F739" s="273">
        <f>ROUND(H63,0)</f>
        <v>676598</v>
      </c>
      <c r="G739" s="273">
        <f>ROUND(H64,0)</f>
        <v>13445</v>
      </c>
      <c r="H739" s="273">
        <f>ROUND(H65,0)</f>
        <v>0</v>
      </c>
      <c r="I739" s="273">
        <f>ROUND(H66,0)</f>
        <v>1266035</v>
      </c>
      <c r="J739" s="273">
        <f>ROUND(H67,0)</f>
        <v>39376</v>
      </c>
      <c r="K739" s="273">
        <f>ROUND(H68,0)</f>
        <v>0</v>
      </c>
      <c r="L739" s="273">
        <f>ROUND(H69,0)</f>
        <v>1867</v>
      </c>
      <c r="M739" s="273">
        <f>ROUND(H70,0)</f>
        <v>0</v>
      </c>
      <c r="N739" s="273">
        <f>ROUND(H75,0)</f>
        <v>3750281</v>
      </c>
      <c r="O739" s="273">
        <f>ROUND(H73,0)</f>
        <v>3750281</v>
      </c>
      <c r="P739" s="273">
        <f>IF(H76&gt;0,ROUND(H76,0),0)</f>
        <v>3872</v>
      </c>
      <c r="Q739" s="273">
        <f>IF(H77&gt;0,ROUND(H77,0),0)</f>
        <v>13015</v>
      </c>
      <c r="R739" s="273">
        <f>IF(H78&gt;0,ROUND(H78,0),0)</f>
        <v>0</v>
      </c>
      <c r="S739" s="273">
        <f>IF(H79&gt;0,ROUND(H79,0),0)</f>
        <v>11944</v>
      </c>
      <c r="T739" s="275">
        <f>IF(H80&gt;0,ROUND(H80,2),0)</f>
        <v>13.17</v>
      </c>
      <c r="U739" s="273"/>
      <c r="V739" s="274"/>
      <c r="W739" s="273"/>
      <c r="X739" s="273"/>
      <c r="Y739" s="273" t="e">
        <f t="shared" si="24"/>
        <v>#DIV/0!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str">
        <f>RIGHT($C$83,3)&amp;"*"&amp;RIGHT($C$82,4)&amp;"*"&amp;I$55&amp;"*"&amp;"A"</f>
        <v>199*2020*6150*A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 t="e">
        <f t="shared" si="24"/>
        <v>#DIV/0!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str">
        <f>RIGHT($C$83,3)&amp;"*"&amp;RIGHT($C$82,4)&amp;"*"&amp;J$55&amp;"*"&amp;"A"</f>
        <v>199*2020*6170*A</v>
      </c>
      <c r="B741" s="273">
        <f>ROUND(J59,0)</f>
        <v>980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-21</v>
      </c>
      <c r="H741" s="273">
        <f>ROUND(J65,0)</f>
        <v>0</v>
      </c>
      <c r="I741" s="273">
        <f>ROUND(J66,0)</f>
        <v>0</v>
      </c>
      <c r="J741" s="273">
        <f>ROUND(J67,0)</f>
        <v>7119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871628</v>
      </c>
      <c r="O741" s="273">
        <f>ROUND(J73,0)</f>
        <v>871628</v>
      </c>
      <c r="P741" s="273">
        <f>IF(J76&gt;0,ROUND(J76,0),0)</f>
        <v>700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 t="e">
        <f t="shared" si="24"/>
        <v>#DIV/0!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str">
        <f>RIGHT($C$83,3)&amp;"*"&amp;RIGHT($C$82,4)&amp;"*"&amp;K$55&amp;"*"&amp;"A"</f>
        <v>199*2020*6200*A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 t="e">
        <f t="shared" si="24"/>
        <v>#DIV/0!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str">
        <f>RIGHT($C$83,3)&amp;"*"&amp;RIGHT($C$82,4)&amp;"*"&amp;L$55&amp;"*"&amp;"A"</f>
        <v>199*2020*6210*A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 t="e">
        <f t="shared" si="24"/>
        <v>#DIV/0!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str">
        <f>RIGHT($C$83,3)&amp;"*"&amp;RIGHT($C$82,4)&amp;"*"&amp;M$55&amp;"*"&amp;"A"</f>
        <v>199*2020*6330*A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 t="e">
        <f t="shared" si="24"/>
        <v>#DIV/0!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str">
        <f>RIGHT($C$83,3)&amp;"*"&amp;RIGHT($C$82,4)&amp;"*"&amp;N$55&amp;"*"&amp;"A"</f>
        <v>199*2020*6400*A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 t="e">
        <f t="shared" si="24"/>
        <v>#DIV/0!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str">
        <f>RIGHT($C$83,3)&amp;"*"&amp;RIGHT($C$82,4)&amp;"*"&amp;O$55&amp;"*"&amp;"A"</f>
        <v>199*2020*7010*A</v>
      </c>
      <c r="B746" s="273">
        <f>ROUND(O59,0)</f>
        <v>739</v>
      </c>
      <c r="C746" s="275">
        <f>ROUND(O60,2)</f>
        <v>14.78</v>
      </c>
      <c r="D746" s="273">
        <f>ROUND(O61,0)</f>
        <v>1407587</v>
      </c>
      <c r="E746" s="273">
        <f>ROUND(O62,0)</f>
        <v>366065</v>
      </c>
      <c r="F746" s="273">
        <f>ROUND(O63,0)</f>
        <v>161595</v>
      </c>
      <c r="G746" s="273">
        <f>ROUND(O64,0)</f>
        <v>103463</v>
      </c>
      <c r="H746" s="273">
        <f>ROUND(O65,0)</f>
        <v>0</v>
      </c>
      <c r="I746" s="273">
        <f>ROUND(O66,0)</f>
        <v>315948</v>
      </c>
      <c r="J746" s="273">
        <f>ROUND(O67,0)</f>
        <v>90153</v>
      </c>
      <c r="K746" s="273">
        <f>ROUND(O68,0)</f>
        <v>-6527</v>
      </c>
      <c r="L746" s="273">
        <f>ROUND(O69,0)</f>
        <v>3431</v>
      </c>
      <c r="M746" s="273">
        <f>ROUND(O70,0)</f>
        <v>0</v>
      </c>
      <c r="N746" s="273">
        <f>ROUND(O75,0)</f>
        <v>3250248</v>
      </c>
      <c r="O746" s="273">
        <f>ROUND(O73,0)</f>
        <v>3008173</v>
      </c>
      <c r="P746" s="273">
        <f>IF(O76&gt;0,ROUND(O76,0),0)</f>
        <v>8865</v>
      </c>
      <c r="Q746" s="273">
        <f>IF(O77&gt;0,ROUND(O77,0),0)</f>
        <v>2693</v>
      </c>
      <c r="R746" s="273">
        <f>IF(O78&gt;0,ROUND(O78,0),0)</f>
        <v>0</v>
      </c>
      <c r="S746" s="273">
        <f>IF(O79&gt;0,ROUND(O79,0),0)</f>
        <v>0</v>
      </c>
      <c r="T746" s="275">
        <f>IF(O80&gt;0,ROUND(O80,2),0)</f>
        <v>12.36</v>
      </c>
      <c r="U746" s="273"/>
      <c r="V746" s="274"/>
      <c r="W746" s="273"/>
      <c r="X746" s="273"/>
      <c r="Y746" s="273" t="e">
        <f t="shared" si="24"/>
        <v>#DIV/0!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str">
        <f>RIGHT($C$83,3)&amp;"*"&amp;RIGHT($C$82,4)&amp;"*"&amp;P$55&amp;"*"&amp;"A"</f>
        <v>199*2020*7020*A</v>
      </c>
      <c r="B747" s="273">
        <f>ROUND(P59,0)</f>
        <v>0</v>
      </c>
      <c r="C747" s="275">
        <f>ROUND(P60,2)</f>
        <v>15.79</v>
      </c>
      <c r="D747" s="273">
        <f>ROUND(P61,0)</f>
        <v>504281</v>
      </c>
      <c r="E747" s="273">
        <f>ROUND(P62,0)</f>
        <v>168291</v>
      </c>
      <c r="F747" s="273">
        <f>ROUND(P63,0)</f>
        <v>0</v>
      </c>
      <c r="G747" s="273">
        <f>ROUND(P64,0)</f>
        <v>405599</v>
      </c>
      <c r="H747" s="273">
        <f>ROUND(P65,0)</f>
        <v>0</v>
      </c>
      <c r="I747" s="273">
        <f>ROUND(P66,0)</f>
        <v>255504</v>
      </c>
      <c r="J747" s="273">
        <f>ROUND(P67,0)</f>
        <v>24915</v>
      </c>
      <c r="K747" s="273">
        <f>ROUND(P68,0)</f>
        <v>-4255</v>
      </c>
      <c r="L747" s="273">
        <f>ROUND(P69,0)</f>
        <v>32204</v>
      </c>
      <c r="M747" s="273">
        <f>ROUND(P70,0)</f>
        <v>0</v>
      </c>
      <c r="N747" s="273">
        <f>ROUND(P75,0)</f>
        <v>13554508</v>
      </c>
      <c r="O747" s="273">
        <f>ROUND(P73,0)</f>
        <v>4042742</v>
      </c>
      <c r="P747" s="273">
        <f>IF(P76&gt;0,ROUND(P76,0),0)</f>
        <v>2450</v>
      </c>
      <c r="Q747" s="273">
        <f>IF(P77&gt;0,ROUND(P77,0),0)</f>
        <v>0</v>
      </c>
      <c r="R747" s="273">
        <f>IF(P78&gt;0,ROUND(P78,0),0)</f>
        <v>0</v>
      </c>
      <c r="S747" s="273">
        <f>IF(P79&gt;0,ROUND(P79,0),0)</f>
        <v>23069</v>
      </c>
      <c r="T747" s="275">
        <f>IF(P80&gt;0,ROUND(P80,2),0)</f>
        <v>4.9400000000000004</v>
      </c>
      <c r="U747" s="273"/>
      <c r="V747" s="274"/>
      <c r="W747" s="273"/>
      <c r="X747" s="273"/>
      <c r="Y747" s="273" t="e">
        <f t="shared" si="24"/>
        <v>#DIV/0!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str">
        <f>RIGHT($C$83,3)&amp;"*"&amp;RIGHT($C$82,4)&amp;"*"&amp;Q$55&amp;"*"&amp;"A"</f>
        <v>199*2020*7030*A</v>
      </c>
      <c r="B748" s="273">
        <f>ROUND(Q59,0)</f>
        <v>0</v>
      </c>
      <c r="C748" s="275">
        <f>ROUND(Q60,2)</f>
        <v>2.02</v>
      </c>
      <c r="D748" s="273">
        <f>ROUND(Q61,0)</f>
        <v>189667</v>
      </c>
      <c r="E748" s="273">
        <f>ROUND(Q62,0)</f>
        <v>61117</v>
      </c>
      <c r="F748" s="273">
        <f>ROUND(Q63,0)</f>
        <v>0</v>
      </c>
      <c r="G748" s="273">
        <f>ROUND(Q64,0)</f>
        <v>24980</v>
      </c>
      <c r="H748" s="273">
        <f>ROUND(Q65,0)</f>
        <v>0</v>
      </c>
      <c r="I748" s="273">
        <f>ROUND(Q66,0)</f>
        <v>-881</v>
      </c>
      <c r="J748" s="273">
        <f>ROUND(Q67,0)</f>
        <v>39712</v>
      </c>
      <c r="K748" s="273">
        <f>ROUND(Q68,0)</f>
        <v>0</v>
      </c>
      <c r="L748" s="273">
        <f>ROUND(Q69,0)</f>
        <v>0</v>
      </c>
      <c r="M748" s="273">
        <f>ROUND(Q70,0)</f>
        <v>0</v>
      </c>
      <c r="N748" s="273">
        <f>ROUND(Q75,0)</f>
        <v>788947</v>
      </c>
      <c r="O748" s="273">
        <f>ROUND(Q73,0)</f>
        <v>59605</v>
      </c>
      <c r="P748" s="273">
        <f>IF(Q76&gt;0,ROUND(Q76,0),0)</f>
        <v>3905</v>
      </c>
      <c r="Q748" s="273">
        <f>IF(Q77&gt;0,ROUND(Q77,0),0)</f>
        <v>0</v>
      </c>
      <c r="R748" s="273">
        <f>IF(Q78&gt;0,ROUND(Q78,0),0)</f>
        <v>0</v>
      </c>
      <c r="S748" s="273">
        <f>IF(Q79&gt;0,ROUND(Q79,0),0)</f>
        <v>0</v>
      </c>
      <c r="T748" s="275">
        <f>IF(Q80&gt;0,ROUND(Q80,2),0)</f>
        <v>2.0099999999999998</v>
      </c>
      <c r="U748" s="273"/>
      <c r="V748" s="274"/>
      <c r="W748" s="273"/>
      <c r="X748" s="273"/>
      <c r="Y748" s="273" t="e">
        <f t="shared" si="24"/>
        <v>#DIV/0!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str">
        <f>RIGHT($C$83,3)&amp;"*"&amp;RIGHT($C$82,4)&amp;"*"&amp;R$55&amp;"*"&amp;"A"</f>
        <v>199*2020*7040*A</v>
      </c>
      <c r="B749" s="273">
        <f>ROUND(R59,0)</f>
        <v>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16045</v>
      </c>
      <c r="G749" s="273">
        <f>ROUND(R64,0)</f>
        <v>16564</v>
      </c>
      <c r="H749" s="273">
        <f>ROUND(R65,0)</f>
        <v>0</v>
      </c>
      <c r="I749" s="273">
        <f>ROUND(R66,0)</f>
        <v>232690</v>
      </c>
      <c r="J749" s="273">
        <f>ROUND(R67,0)</f>
        <v>1627</v>
      </c>
      <c r="K749" s="273">
        <f>ROUND(R68,0)</f>
        <v>0</v>
      </c>
      <c r="L749" s="273">
        <f>ROUND(R69,0)</f>
        <v>3817</v>
      </c>
      <c r="M749" s="273">
        <f>ROUND(R70,0)</f>
        <v>0</v>
      </c>
      <c r="N749" s="273">
        <f>ROUND(R75,0)</f>
        <v>812389</v>
      </c>
      <c r="O749" s="273">
        <f>ROUND(R73,0)</f>
        <v>236846</v>
      </c>
      <c r="P749" s="273">
        <f>IF(R76&gt;0,ROUND(R76,0),0)</f>
        <v>160</v>
      </c>
      <c r="Q749" s="273">
        <f>IF(R77&gt;0,ROUND(R77,0),0)</f>
        <v>0</v>
      </c>
      <c r="R749" s="273">
        <f>IF(R78&gt;0,ROUND(R78,0),0)</f>
        <v>0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 t="e">
        <f t="shared" si="24"/>
        <v>#DIV/0!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str">
        <f>RIGHT($C$83,3)&amp;"*"&amp;RIGHT($C$82,4)&amp;"*"&amp;S$55&amp;"*"&amp;"A"</f>
        <v>199*2020*7050*A</v>
      </c>
      <c r="B750" s="273"/>
      <c r="C750" s="275">
        <f>ROUND(S60,2)</f>
        <v>0</v>
      </c>
      <c r="D750" s="273">
        <f>ROUND(S61,0)</f>
        <v>0</v>
      </c>
      <c r="E750" s="273">
        <f>ROUND(S62,0)</f>
        <v>0</v>
      </c>
      <c r="F750" s="273">
        <f>ROUND(S63,0)</f>
        <v>0</v>
      </c>
      <c r="G750" s="273">
        <f>ROUND(S64,0)</f>
        <v>174166</v>
      </c>
      <c r="H750" s="273">
        <f>ROUND(S65,0)</f>
        <v>0</v>
      </c>
      <c r="I750" s="273">
        <f>ROUND(S66,0)</f>
        <v>0</v>
      </c>
      <c r="J750" s="273">
        <f>ROUND(S67,0)</f>
        <v>0</v>
      </c>
      <c r="K750" s="273">
        <f>ROUND(S68,0)</f>
        <v>0</v>
      </c>
      <c r="L750" s="273">
        <f>ROUND(S69,0)</f>
        <v>13171</v>
      </c>
      <c r="M750" s="273">
        <f>ROUND(S70,0)</f>
        <v>0</v>
      </c>
      <c r="N750" s="273">
        <f>ROUND(S75,0)</f>
        <v>593386</v>
      </c>
      <c r="O750" s="273">
        <f>ROUND(S73,0)</f>
        <v>107993</v>
      </c>
      <c r="P750" s="273">
        <f>IF(S76&gt;0,ROUND(S76,0),0)</f>
        <v>0</v>
      </c>
      <c r="Q750" s="273">
        <f>IF(S77&gt;0,ROUND(S77,0),0)</f>
        <v>0</v>
      </c>
      <c r="R750" s="273">
        <f>IF(S78&gt;0,ROUND(S78,0),0)</f>
        <v>0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 t="e">
        <f t="shared" si="24"/>
        <v>#DIV/0!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str">
        <f>RIGHT($C$83,3)&amp;"*"&amp;RIGHT($C$82,4)&amp;"*"&amp;T$55&amp;"*"&amp;"A"</f>
        <v>199*2020*7060*A</v>
      </c>
      <c r="B751" s="273"/>
      <c r="C751" s="275">
        <f>ROUND(T60,2)</f>
        <v>0</v>
      </c>
      <c r="D751" s="273">
        <f>ROUND(T61,0)</f>
        <v>0</v>
      </c>
      <c r="E751" s="273">
        <f>ROUND(T62,0)</f>
        <v>0</v>
      </c>
      <c r="F751" s="273">
        <f>ROUND(T63,0)</f>
        <v>0</v>
      </c>
      <c r="G751" s="273">
        <f>ROUND(T64,0)</f>
        <v>0</v>
      </c>
      <c r="H751" s="273">
        <f>ROUND(T65,0)</f>
        <v>0</v>
      </c>
      <c r="I751" s="273">
        <f>ROUND(T66,0)</f>
        <v>0</v>
      </c>
      <c r="J751" s="273">
        <f>ROUND(T67,0)</f>
        <v>0</v>
      </c>
      <c r="K751" s="273">
        <f>ROUND(T68,0)</f>
        <v>0</v>
      </c>
      <c r="L751" s="273">
        <f>ROUND(T69,0)</f>
        <v>0</v>
      </c>
      <c r="M751" s="273">
        <f>ROUND(T70,0)</f>
        <v>0</v>
      </c>
      <c r="N751" s="273">
        <f>ROUND(T75,0)</f>
        <v>0</v>
      </c>
      <c r="O751" s="273">
        <f>ROUND(T73,0)</f>
        <v>0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0</v>
      </c>
      <c r="U751" s="273"/>
      <c r="V751" s="274"/>
      <c r="W751" s="273"/>
      <c r="X751" s="273"/>
      <c r="Y751" s="273" t="e">
        <f t="shared" si="24"/>
        <v>#DIV/0!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str">
        <f>RIGHT($C$83,3)&amp;"*"&amp;RIGHT($C$82,4)&amp;"*"&amp;U$55&amp;"*"&amp;"A"</f>
        <v>199*2020*7070*A</v>
      </c>
      <c r="B752" s="273">
        <f>ROUND(U59,0)</f>
        <v>0</v>
      </c>
      <c r="C752" s="275">
        <f>ROUND(U60,2)</f>
        <v>11.72</v>
      </c>
      <c r="D752" s="273">
        <f>ROUND(U61,0)</f>
        <v>628361</v>
      </c>
      <c r="E752" s="273">
        <f>ROUND(U62,0)</f>
        <v>239303</v>
      </c>
      <c r="F752" s="273">
        <f>ROUND(U63,0)</f>
        <v>79239</v>
      </c>
      <c r="G752" s="273">
        <f>ROUND(U64,0)</f>
        <v>622265</v>
      </c>
      <c r="H752" s="273">
        <f>ROUND(U65,0)</f>
        <v>0</v>
      </c>
      <c r="I752" s="273">
        <f>ROUND(U66,0)</f>
        <v>37796</v>
      </c>
      <c r="J752" s="273">
        <f>ROUND(U67,0)</f>
        <v>27875</v>
      </c>
      <c r="K752" s="273">
        <f>ROUND(U68,0)</f>
        <v>2454</v>
      </c>
      <c r="L752" s="273">
        <f>ROUND(U69,0)</f>
        <v>106711</v>
      </c>
      <c r="M752" s="273">
        <f>ROUND(U70,0)</f>
        <v>0</v>
      </c>
      <c r="N752" s="273">
        <f>ROUND(U75,0)</f>
        <v>20693951</v>
      </c>
      <c r="O752" s="273">
        <f>ROUND(U73,0)</f>
        <v>6428395</v>
      </c>
      <c r="P752" s="273">
        <f>IF(U76&gt;0,ROUND(U76,0),0)</f>
        <v>2741</v>
      </c>
      <c r="Q752" s="273">
        <f>IF(U77&gt;0,ROUND(U77,0),0)</f>
        <v>0</v>
      </c>
      <c r="R752" s="273">
        <f>IF(U78&gt;0,ROUND(U78,0),0)</f>
        <v>0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 t="e">
        <f t="shared" si="24"/>
        <v>#DIV/0!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str">
        <f>RIGHT($C$83,3)&amp;"*"&amp;RIGHT($C$82,4)&amp;"*"&amp;V$55&amp;"*"&amp;"A"</f>
        <v>199*2020*7110*A</v>
      </c>
      <c r="B753" s="273">
        <f>ROUND(V59,0)</f>
        <v>0</v>
      </c>
      <c r="C753" s="275">
        <f>ROUND(V60,2)</f>
        <v>0</v>
      </c>
      <c r="D753" s="273">
        <f>ROUND(V61,0)</f>
        <v>0</v>
      </c>
      <c r="E753" s="273">
        <f>ROUND(V62,0)</f>
        <v>0</v>
      </c>
      <c r="F753" s="273">
        <f>ROUND(V63,0)</f>
        <v>0</v>
      </c>
      <c r="G753" s="273">
        <f>ROUND(V64,0)</f>
        <v>0</v>
      </c>
      <c r="H753" s="273">
        <f>ROUND(V65,0)</f>
        <v>0</v>
      </c>
      <c r="I753" s="273">
        <f>ROUND(V66,0)</f>
        <v>0</v>
      </c>
      <c r="J753" s="273">
        <f>ROUND(V67,0)</f>
        <v>0</v>
      </c>
      <c r="K753" s="273">
        <f>ROUND(V68,0)</f>
        <v>0</v>
      </c>
      <c r="L753" s="273">
        <f>ROUND(V69,0)</f>
        <v>0</v>
      </c>
      <c r="M753" s="273">
        <f>ROUND(V70,0)</f>
        <v>0</v>
      </c>
      <c r="N753" s="273">
        <f>ROUND(V75,0)</f>
        <v>1401583</v>
      </c>
      <c r="O753" s="273">
        <f>ROUND(V73,0)</f>
        <v>325993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</v>
      </c>
      <c r="U753" s="273"/>
      <c r="V753" s="274"/>
      <c r="W753" s="273"/>
      <c r="X753" s="273"/>
      <c r="Y753" s="273" t="e">
        <f t="shared" si="24"/>
        <v>#DIV/0!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str">
        <f>RIGHT($C$83,3)&amp;"*"&amp;RIGHT($C$82,4)&amp;"*"&amp;W$55&amp;"*"&amp;"A"</f>
        <v>199*2020*7120*A</v>
      </c>
      <c r="B754" s="273">
        <f>ROUND(W59,0)</f>
        <v>0</v>
      </c>
      <c r="C754" s="275">
        <f>ROUND(W60,2)</f>
        <v>0.27</v>
      </c>
      <c r="D754" s="273">
        <f>ROUND(W61,0)</f>
        <v>2702</v>
      </c>
      <c r="E754" s="273">
        <f>ROUND(W62,0)</f>
        <v>820</v>
      </c>
      <c r="F754" s="273">
        <f>ROUND(W63,0)</f>
        <v>0</v>
      </c>
      <c r="G754" s="273">
        <f>ROUND(W64,0)</f>
        <v>0</v>
      </c>
      <c r="H754" s="273">
        <f>ROUND(W65,0)</f>
        <v>0</v>
      </c>
      <c r="I754" s="273">
        <f>ROUND(W66,0)</f>
        <v>120002</v>
      </c>
      <c r="J754" s="273">
        <f>ROUND(W67,0)</f>
        <v>0</v>
      </c>
      <c r="K754" s="273">
        <f>ROUND(W68,0)</f>
        <v>0</v>
      </c>
      <c r="L754" s="273">
        <f>ROUND(W69,0)</f>
        <v>0</v>
      </c>
      <c r="M754" s="273">
        <f>ROUND(W70,0)</f>
        <v>0</v>
      </c>
      <c r="N754" s="273">
        <f>ROUND(W75,0)</f>
        <v>931971</v>
      </c>
      <c r="O754" s="273">
        <f>ROUND(W73,0)</f>
        <v>46728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 t="e">
        <f t="shared" si="24"/>
        <v>#DIV/0!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str">
        <f>RIGHT($C$83,3)&amp;"*"&amp;RIGHT($C$82,4)&amp;"*"&amp;X$55&amp;"*"&amp;"A"</f>
        <v>199*2020*7130*A</v>
      </c>
      <c r="B755" s="273">
        <f>ROUND(X59,0)</f>
        <v>0</v>
      </c>
      <c r="C755" s="275">
        <f>ROUND(X60,2)</f>
        <v>0.94</v>
      </c>
      <c r="D755" s="273">
        <f>ROUND(X61,0)</f>
        <v>58233</v>
      </c>
      <c r="E755" s="273">
        <f>ROUND(X62,0)</f>
        <v>41690</v>
      </c>
      <c r="F755" s="273">
        <f>ROUND(X63,0)</f>
        <v>0</v>
      </c>
      <c r="G755" s="273">
        <f>ROUND(X64,0)</f>
        <v>29939</v>
      </c>
      <c r="H755" s="273">
        <f>ROUND(X65,0)</f>
        <v>0</v>
      </c>
      <c r="I755" s="273">
        <f>ROUND(X66,0)</f>
        <v>0</v>
      </c>
      <c r="J755" s="273">
        <f>ROUND(X67,0)</f>
        <v>0</v>
      </c>
      <c r="K755" s="273">
        <f>ROUND(X68,0)</f>
        <v>0</v>
      </c>
      <c r="L755" s="273">
        <f>ROUND(X69,0)</f>
        <v>0</v>
      </c>
      <c r="M755" s="273">
        <f>ROUND(X70,0)</f>
        <v>0</v>
      </c>
      <c r="N755" s="273">
        <f>ROUND(X75,0)</f>
        <v>16761829</v>
      </c>
      <c r="O755" s="273">
        <f>ROUND(X73,0)</f>
        <v>2250120</v>
      </c>
      <c r="P755" s="273">
        <f>IF(X76&gt;0,ROUND(X76,0),0)</f>
        <v>0</v>
      </c>
      <c r="Q755" s="273">
        <f>IF(X77&gt;0,ROUND(X77,0),0)</f>
        <v>0</v>
      </c>
      <c r="R755" s="273">
        <f>IF(X78&gt;0,ROUND(X78,0),0)</f>
        <v>0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 t="e">
        <f t="shared" si="24"/>
        <v>#DIV/0!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str">
        <f>RIGHT($C$83,3)&amp;"*"&amp;RIGHT($C$82,4)&amp;"*"&amp;Y$55&amp;"*"&amp;"A"</f>
        <v>199*2020*7140*A</v>
      </c>
      <c r="B756" s="273">
        <f>ROUND(Y59,0)</f>
        <v>0</v>
      </c>
      <c r="C756" s="275">
        <f>ROUND(Y60,2)</f>
        <v>9.75</v>
      </c>
      <c r="D756" s="273">
        <f>ROUND(Y61,0)</f>
        <v>732560</v>
      </c>
      <c r="E756" s="273">
        <f>ROUND(Y62,0)</f>
        <v>210937</v>
      </c>
      <c r="F756" s="273">
        <f>ROUND(Y63,0)</f>
        <v>0</v>
      </c>
      <c r="G756" s="273">
        <f>ROUND(Y64,0)</f>
        <v>10669</v>
      </c>
      <c r="H756" s="273">
        <f>ROUND(Y65,0)</f>
        <v>0</v>
      </c>
      <c r="I756" s="273">
        <f>ROUND(Y66,0)</f>
        <v>130138</v>
      </c>
      <c r="J756" s="273">
        <f>ROUND(Y67,0)</f>
        <v>41471</v>
      </c>
      <c r="K756" s="273">
        <f>ROUND(Y68,0)</f>
        <v>0</v>
      </c>
      <c r="L756" s="273">
        <f>ROUND(Y69,0)</f>
        <v>99095</v>
      </c>
      <c r="M756" s="273">
        <f>ROUND(Y70,0)</f>
        <v>0</v>
      </c>
      <c r="N756" s="273">
        <f>ROUND(Y75,0)</f>
        <v>10131099</v>
      </c>
      <c r="O756" s="273">
        <f>ROUND(Y73,0)</f>
        <v>1168793</v>
      </c>
      <c r="P756" s="273">
        <f>IF(Y76&gt;0,ROUND(Y76,0),0)</f>
        <v>4078</v>
      </c>
      <c r="Q756" s="273">
        <f>IF(Y77&gt;0,ROUND(Y77,0),0)</f>
        <v>0</v>
      </c>
      <c r="R756" s="273">
        <f>IF(Y78&gt;0,ROUND(Y78,0),0)</f>
        <v>0</v>
      </c>
      <c r="S756" s="273">
        <f>IF(Y79&gt;0,ROUND(Y79,0),0)</f>
        <v>20762</v>
      </c>
      <c r="T756" s="275">
        <f>IF(Y80&gt;0,ROUND(Y80,2),0)</f>
        <v>0</v>
      </c>
      <c r="U756" s="273"/>
      <c r="V756" s="274"/>
      <c r="W756" s="273"/>
      <c r="X756" s="273"/>
      <c r="Y756" s="273" t="e">
        <f t="shared" si="24"/>
        <v>#DIV/0!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str">
        <f>RIGHT($C$83,3)&amp;"*"&amp;RIGHT($C$82,4)&amp;"*"&amp;Z$55&amp;"*"&amp;"A"</f>
        <v>199*2020*7150*A</v>
      </c>
      <c r="B757" s="273">
        <f>ROUND(Z59,0)</f>
        <v>0</v>
      </c>
      <c r="C757" s="275">
        <f>ROUND(Z60,2)</f>
        <v>0</v>
      </c>
      <c r="D757" s="273">
        <f>ROUND(Z61,0)</f>
        <v>0</v>
      </c>
      <c r="E757" s="273">
        <f>ROUND(Z62,0)</f>
        <v>0</v>
      </c>
      <c r="F757" s="273">
        <f>ROUND(Z63,0)</f>
        <v>0</v>
      </c>
      <c r="G757" s="273">
        <f>ROUND(Z64,0)</f>
        <v>0</v>
      </c>
      <c r="H757" s="273">
        <f>ROUND(Z65,0)</f>
        <v>0</v>
      </c>
      <c r="I757" s="273">
        <f>ROUND(Z66,0)</f>
        <v>0</v>
      </c>
      <c r="J757" s="273">
        <f>ROUND(Z67,0)</f>
        <v>0</v>
      </c>
      <c r="K757" s="273">
        <f>ROUND(Z68,0)</f>
        <v>0</v>
      </c>
      <c r="L757" s="273">
        <f>ROUND(Z69,0)</f>
        <v>0</v>
      </c>
      <c r="M757" s="273">
        <f>ROUND(Z70,0)</f>
        <v>0</v>
      </c>
      <c r="N757" s="273">
        <f>ROUND(Z75,0)</f>
        <v>0</v>
      </c>
      <c r="O757" s="273">
        <f>ROUND(Z73,0)</f>
        <v>0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</v>
      </c>
      <c r="U757" s="273"/>
      <c r="V757" s="274"/>
      <c r="W757" s="273"/>
      <c r="X757" s="273"/>
      <c r="Y757" s="273" t="e">
        <f t="shared" si="24"/>
        <v>#DIV/0!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str">
        <f>RIGHT($C$83,3)&amp;"*"&amp;RIGHT($C$82,4)&amp;"*"&amp;AA$55&amp;"*"&amp;"A"</f>
        <v>199*2020*7160*A</v>
      </c>
      <c r="B758" s="273">
        <f>ROUND(AA59,0)</f>
        <v>0</v>
      </c>
      <c r="C758" s="275">
        <f>ROUND(AA60,2)</f>
        <v>0</v>
      </c>
      <c r="D758" s="273">
        <f>ROUND(AA61,0)</f>
        <v>0</v>
      </c>
      <c r="E758" s="273">
        <f>ROUND(AA62,0)</f>
        <v>0</v>
      </c>
      <c r="F758" s="273">
        <f>ROUND(AA63,0)</f>
        <v>0</v>
      </c>
      <c r="G758" s="273">
        <f>ROUND(AA64,0)</f>
        <v>0</v>
      </c>
      <c r="H758" s="273">
        <f>ROUND(AA65,0)</f>
        <v>0</v>
      </c>
      <c r="I758" s="273">
        <f>ROUND(AA66,0)</f>
        <v>20634</v>
      </c>
      <c r="J758" s="273">
        <f>ROUND(AA67,0)</f>
        <v>0</v>
      </c>
      <c r="K758" s="273">
        <f>ROUND(AA68,0)</f>
        <v>0</v>
      </c>
      <c r="L758" s="273">
        <f>ROUND(AA69,0)</f>
        <v>0</v>
      </c>
      <c r="M758" s="273">
        <f>ROUND(AA70,0)</f>
        <v>0</v>
      </c>
      <c r="N758" s="273">
        <f>ROUND(AA75,0)</f>
        <v>0</v>
      </c>
      <c r="O758" s="273">
        <f>ROUND(AA73,0)</f>
        <v>0</v>
      </c>
      <c r="P758" s="273">
        <f>IF(AA76&gt;0,ROUND(AA76,0),0)</f>
        <v>0</v>
      </c>
      <c r="Q758" s="273">
        <f>IF(AA77&gt;0,ROUND(AA77,0),0)</f>
        <v>0</v>
      </c>
      <c r="R758" s="273">
        <f>IF(AA78&gt;0,ROUND(AA78,0),0)</f>
        <v>0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 t="e">
        <f t="shared" si="24"/>
        <v>#DIV/0!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str">
        <f>RIGHT($C$83,3)&amp;"*"&amp;RIGHT($C$82,4)&amp;"*"&amp;AB$55&amp;"*"&amp;"A"</f>
        <v>199*2020*7170*A</v>
      </c>
      <c r="B759" s="273"/>
      <c r="C759" s="275">
        <f>ROUND(AB60,2)</f>
        <v>3.85</v>
      </c>
      <c r="D759" s="273">
        <f>ROUND(AB61,0)</f>
        <v>324478</v>
      </c>
      <c r="E759" s="273">
        <f>ROUND(AB62,0)</f>
        <v>102190</v>
      </c>
      <c r="F759" s="273">
        <f>ROUND(AB63,0)</f>
        <v>0</v>
      </c>
      <c r="G759" s="273">
        <f>ROUND(AB64,0)</f>
        <v>331013</v>
      </c>
      <c r="H759" s="273">
        <f>ROUND(AB65,0)</f>
        <v>0</v>
      </c>
      <c r="I759" s="273">
        <f>ROUND(AB66,0)</f>
        <v>18215</v>
      </c>
      <c r="J759" s="273">
        <f>ROUND(AB67,0)</f>
        <v>10800</v>
      </c>
      <c r="K759" s="273">
        <f>ROUND(AB68,0)</f>
        <v>0</v>
      </c>
      <c r="L759" s="273">
        <f>ROUND(AB69,0)</f>
        <v>34780</v>
      </c>
      <c r="M759" s="273">
        <f>ROUND(AB70,0)</f>
        <v>0</v>
      </c>
      <c r="N759" s="273">
        <f>ROUND(AB75,0)</f>
        <v>10249517</v>
      </c>
      <c r="O759" s="273">
        <f>ROUND(AB73,0)</f>
        <v>7252134</v>
      </c>
      <c r="P759" s="273">
        <f>IF(AB76&gt;0,ROUND(AB76,0),0)</f>
        <v>1062</v>
      </c>
      <c r="Q759" s="273">
        <f>IF(AB77&gt;0,ROUND(AB77,0),0)</f>
        <v>0</v>
      </c>
      <c r="R759" s="273">
        <f>IF(AB78&gt;0,ROUND(AB78,0),0)</f>
        <v>0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 t="e">
        <f t="shared" si="24"/>
        <v>#DIV/0!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str">
        <f>RIGHT($C$83,3)&amp;"*"&amp;RIGHT($C$82,4)&amp;"*"&amp;AC$55&amp;"*"&amp;"A"</f>
        <v>199*2020*7180*A</v>
      </c>
      <c r="B760" s="273">
        <f>ROUND(AC59,0)</f>
        <v>0</v>
      </c>
      <c r="C760" s="275">
        <f>ROUND(AC60,2)</f>
        <v>5.07</v>
      </c>
      <c r="D760" s="273">
        <f>ROUND(AC61,0)</f>
        <v>333312</v>
      </c>
      <c r="E760" s="273">
        <f>ROUND(AC62,0)</f>
        <v>112872</v>
      </c>
      <c r="F760" s="273">
        <f>ROUND(AC63,0)</f>
        <v>0</v>
      </c>
      <c r="G760" s="273">
        <f>ROUND(AC64,0)</f>
        <v>12990</v>
      </c>
      <c r="H760" s="273">
        <f>ROUND(AC65,0)</f>
        <v>0</v>
      </c>
      <c r="I760" s="273">
        <f>ROUND(AC66,0)</f>
        <v>63294</v>
      </c>
      <c r="J760" s="273">
        <f>ROUND(AC67,0)</f>
        <v>8563</v>
      </c>
      <c r="K760" s="273">
        <f>ROUND(AC68,0)</f>
        <v>18915</v>
      </c>
      <c r="L760" s="273">
        <f>ROUND(AC69,0)</f>
        <v>5378</v>
      </c>
      <c r="M760" s="273">
        <f>ROUND(AC70,0)</f>
        <v>0</v>
      </c>
      <c r="N760" s="273">
        <f>ROUND(AC75,0)</f>
        <v>3400598</v>
      </c>
      <c r="O760" s="273">
        <f>ROUND(AC73,0)</f>
        <v>2950350</v>
      </c>
      <c r="P760" s="273">
        <f>IF(AC76&gt;0,ROUND(AC76,0),0)</f>
        <v>842</v>
      </c>
      <c r="Q760" s="273">
        <f>IF(AC77&gt;0,ROUND(AC77,0),0)</f>
        <v>0</v>
      </c>
      <c r="R760" s="273">
        <f>IF(AC78&gt;0,ROUND(AC78,0),0)</f>
        <v>0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 t="e">
        <f t="shared" si="24"/>
        <v>#DIV/0!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str">
        <f>RIGHT($C$83,3)&amp;"*"&amp;RIGHT($C$82,4)&amp;"*"&amp;AD$55&amp;"*"&amp;"A"</f>
        <v>199*2020*7190*A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0</v>
      </c>
      <c r="H761" s="273">
        <f>ROUND(AD65,0)</f>
        <v>0</v>
      </c>
      <c r="I761" s="273">
        <f>ROUND(AD66,0)</f>
        <v>0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0</v>
      </c>
      <c r="O761" s="273">
        <f>ROUND(AD73,0)</f>
        <v>0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 t="e">
        <f t="shared" si="24"/>
        <v>#DIV/0!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str">
        <f>RIGHT($C$83,3)&amp;"*"&amp;RIGHT($C$82,4)&amp;"*"&amp;AE$55&amp;"*"&amp;"A"</f>
        <v>199*2020*7200*A</v>
      </c>
      <c r="B762" s="273">
        <f>ROUND(AE59,0)</f>
        <v>0</v>
      </c>
      <c r="C762" s="275">
        <f>ROUND(AE60,2)</f>
        <v>0</v>
      </c>
      <c r="D762" s="273">
        <f>ROUND(AE61,0)</f>
        <v>0</v>
      </c>
      <c r="E762" s="273">
        <f>ROUND(AE62,0)</f>
        <v>0</v>
      </c>
      <c r="F762" s="273">
        <f>ROUND(AE63,0)</f>
        <v>4658</v>
      </c>
      <c r="G762" s="273">
        <f>ROUND(AE64,0)</f>
        <v>205</v>
      </c>
      <c r="H762" s="273">
        <f>ROUND(AE65,0)</f>
        <v>0</v>
      </c>
      <c r="I762" s="273">
        <f>ROUND(AE66,0)</f>
        <v>1922</v>
      </c>
      <c r="J762" s="273">
        <f>ROUND(AE67,0)</f>
        <v>5593</v>
      </c>
      <c r="K762" s="273">
        <f>ROUND(AE68,0)</f>
        <v>0</v>
      </c>
      <c r="L762" s="273">
        <f>ROUND(AE69,0)</f>
        <v>0</v>
      </c>
      <c r="M762" s="273">
        <f>ROUND(AE70,0)</f>
        <v>0</v>
      </c>
      <c r="N762" s="273">
        <f>ROUND(AE75,0)</f>
        <v>210788</v>
      </c>
      <c r="O762" s="273">
        <f>ROUND(AE73,0)</f>
        <v>62517</v>
      </c>
      <c r="P762" s="273">
        <f>IF(AE76&gt;0,ROUND(AE76,0),0)</f>
        <v>550</v>
      </c>
      <c r="Q762" s="273">
        <f>IF(AE77&gt;0,ROUND(AE77,0),0)</f>
        <v>0</v>
      </c>
      <c r="R762" s="273">
        <f>IF(AE78&gt;0,ROUND(AE78,0),0)</f>
        <v>0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 t="e">
        <f t="shared" si="24"/>
        <v>#DIV/0!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str">
        <f>RIGHT($C$83,3)&amp;"*"&amp;RIGHT($C$82,4)&amp;"*"&amp;AF$55&amp;"*"&amp;"A"</f>
        <v>199*2020*7220*A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 t="e">
        <f t="shared" si="24"/>
        <v>#DIV/0!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str">
        <f>RIGHT($C$83,3)&amp;"*"&amp;RIGHT($C$82,4)&amp;"*"&amp;AG$55&amp;"*"&amp;"A"</f>
        <v>199*2020*7230*A</v>
      </c>
      <c r="B764" s="273">
        <f>ROUND(AG59,0)</f>
        <v>0</v>
      </c>
      <c r="C764" s="275">
        <f>ROUND(AG60,2)</f>
        <v>24.86</v>
      </c>
      <c r="D764" s="273">
        <f>ROUND(AG61,0)</f>
        <v>1711351</v>
      </c>
      <c r="E764" s="273">
        <f>ROUND(AG62,0)</f>
        <v>554633</v>
      </c>
      <c r="F764" s="273">
        <f>ROUND(AG63,0)</f>
        <v>1232686</v>
      </c>
      <c r="G764" s="273">
        <f>ROUND(AG64,0)</f>
        <v>203986</v>
      </c>
      <c r="H764" s="273">
        <f>ROUND(AG65,0)</f>
        <v>0</v>
      </c>
      <c r="I764" s="273">
        <f>ROUND(AG66,0)</f>
        <v>145163</v>
      </c>
      <c r="J764" s="273">
        <f>ROUND(AG67,0)</f>
        <v>47044</v>
      </c>
      <c r="K764" s="273">
        <f>ROUND(AG68,0)</f>
        <v>-6527</v>
      </c>
      <c r="L764" s="273">
        <f>ROUND(AG69,0)</f>
        <v>19358</v>
      </c>
      <c r="M764" s="273">
        <f>ROUND(AG70,0)</f>
        <v>0</v>
      </c>
      <c r="N764" s="273">
        <f>ROUND(AG75,0)</f>
        <v>23165116</v>
      </c>
      <c r="O764" s="273">
        <f>ROUND(AG73,0)</f>
        <v>2520949</v>
      </c>
      <c r="P764" s="273">
        <f>IF(AG76&gt;0,ROUND(AG76,0),0)</f>
        <v>4626</v>
      </c>
      <c r="Q764" s="273">
        <f>IF(AG77&gt;0,ROUND(AG77,0),0)</f>
        <v>0</v>
      </c>
      <c r="R764" s="273">
        <f>IF(AG78&gt;0,ROUND(AG78,0),0)</f>
        <v>0</v>
      </c>
      <c r="S764" s="273">
        <f>IF(AG79&gt;0,ROUND(AG79,0),0)</f>
        <v>89969</v>
      </c>
      <c r="T764" s="275">
        <f>IF(AG80&gt;0,ROUND(AG80,2),0)</f>
        <v>15.42</v>
      </c>
      <c r="U764" s="273"/>
      <c r="V764" s="274"/>
      <c r="W764" s="273"/>
      <c r="X764" s="273"/>
      <c r="Y764" s="273" t="e">
        <f t="shared" si="24"/>
        <v>#DIV/0!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str">
        <f>RIGHT($C$83,3)&amp;"*"&amp;RIGHT($C$82,4)&amp;"*"&amp;AH$55&amp;"*"&amp;"A"</f>
        <v>199*2020*7240*A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 t="e">
        <f t="shared" si="24"/>
        <v>#DIV/0!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str">
        <f>RIGHT($C$83,3)&amp;"*"&amp;RIGHT($C$82,4)&amp;"*"&amp;AI$55&amp;"*"&amp;"A"</f>
        <v>199*2020*7250*A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 t="e">
        <f t="shared" si="24"/>
        <v>#DIV/0!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str">
        <f>RIGHT($C$83,3)&amp;"*"&amp;RIGHT($C$82,4)&amp;"*"&amp;AJ$55&amp;"*"&amp;"A"</f>
        <v>199*2020*7260*A</v>
      </c>
      <c r="B767" s="273">
        <f>ROUND(AJ59,0)</f>
        <v>0</v>
      </c>
      <c r="C767" s="275">
        <f>ROUND(AJ60,2)</f>
        <v>39.46</v>
      </c>
      <c r="D767" s="273">
        <f>ROUND(AJ61,0)</f>
        <v>4126818</v>
      </c>
      <c r="E767" s="273">
        <f>ROUND(AJ62,0)</f>
        <v>1091859</v>
      </c>
      <c r="F767" s="273">
        <f>ROUND(AJ63,0)</f>
        <v>1665</v>
      </c>
      <c r="G767" s="273">
        <f>ROUND(AJ64,0)</f>
        <v>167818</v>
      </c>
      <c r="H767" s="273">
        <f>ROUND(AJ65,0)</f>
        <v>55672</v>
      </c>
      <c r="I767" s="273">
        <f>ROUND(AJ66,0)</f>
        <v>388608</v>
      </c>
      <c r="J767" s="273">
        <f>ROUND(AJ67,0)</f>
        <v>0</v>
      </c>
      <c r="K767" s="273">
        <f>ROUND(AJ68,0)</f>
        <v>354008</v>
      </c>
      <c r="L767" s="273">
        <f>ROUND(AJ69,0)</f>
        <v>80310</v>
      </c>
      <c r="M767" s="273">
        <f>ROUND(AJ70,0)</f>
        <v>0</v>
      </c>
      <c r="N767" s="273">
        <f>ROUND(AJ75,0)</f>
        <v>20091648</v>
      </c>
      <c r="O767" s="273">
        <f>ROUND(AJ73,0)</f>
        <v>-147</v>
      </c>
      <c r="P767" s="273">
        <f>IF(AJ76&gt;0,ROUND(AJ76,0),0)</f>
        <v>0</v>
      </c>
      <c r="Q767" s="273">
        <f>IF(AJ77&gt;0,ROUND(AJ77,0),0)</f>
        <v>0</v>
      </c>
      <c r="R767" s="273">
        <f>IF(AJ78&gt;0,ROUND(AJ78,0),0)</f>
        <v>0</v>
      </c>
      <c r="S767" s="273">
        <f>IF(AJ79&gt;0,ROUND(AJ79,0),0)</f>
        <v>0</v>
      </c>
      <c r="T767" s="275">
        <f>IF(AJ80&gt;0,ROUND(AJ80,2),0)</f>
        <v>1.05</v>
      </c>
      <c r="U767" s="273"/>
      <c r="V767" s="274"/>
      <c r="W767" s="273"/>
      <c r="X767" s="273"/>
      <c r="Y767" s="273" t="e">
        <f t="shared" si="24"/>
        <v>#DIV/0!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str">
        <f>RIGHT($C$83,3)&amp;"*"&amp;RIGHT($C$82,4)&amp;"*"&amp;AK$55&amp;"*"&amp;"A"</f>
        <v>199*2020*7310*A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12045</v>
      </c>
      <c r="O768" s="273">
        <f>ROUND(AK73,0)</f>
        <v>-11748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 t="e">
        <f t="shared" si="24"/>
        <v>#DIV/0!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str">
        <f>RIGHT($C$83,3)&amp;"*"&amp;RIGHT($C$82,4)&amp;"*"&amp;AL$55&amp;"*"&amp;"A"</f>
        <v>199*2020*7320*A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10624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30532</v>
      </c>
      <c r="O769" s="273">
        <f>ROUND(AL73,0)</f>
        <v>30532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 t="e">
        <f t="shared" si="24"/>
        <v>#DIV/0!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str">
        <f>RIGHT($C$83,3)&amp;"*"&amp;RIGHT($C$82,4)&amp;"*"&amp;AM$55&amp;"*"&amp;"A"</f>
        <v>199*2020*7330*A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 t="e">
        <f t="shared" si="24"/>
        <v>#DIV/0!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str">
        <f>RIGHT($C$83,3)&amp;"*"&amp;RIGHT($C$82,4)&amp;"*"&amp;AN$55&amp;"*"&amp;"A"</f>
        <v>199*2020*7340*A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 t="e">
        <f t="shared" si="24"/>
        <v>#DIV/0!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str">
        <f>RIGHT($C$83,3)&amp;"*"&amp;RIGHT($C$82,4)&amp;"*"&amp;AO$55&amp;"*"&amp;"A"</f>
        <v>199*2020*7350*A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1000831</v>
      </c>
      <c r="O772" s="273">
        <f>ROUND(AO73,0)</f>
        <v>881820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 t="e">
        <f t="shared" si="24"/>
        <v>#DIV/0!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str">
        <f>RIGHT($C$83,3)&amp;"*"&amp;RIGHT($C$82,4)&amp;"*"&amp;AP$55&amp;"*"&amp;"A"</f>
        <v>199*2020*7380*A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 t="e">
        <f t="shared" si="24"/>
        <v>#DIV/0!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str">
        <f>RIGHT($C$83,3)&amp;"*"&amp;RIGHT($C$82,4)&amp;"*"&amp;AQ$55&amp;"*"&amp;"A"</f>
        <v>199*2020*7390*A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 t="e">
        <f t="shared" si="24"/>
        <v>#DIV/0!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str">
        <f>RIGHT($C$83,3)&amp;"*"&amp;RIGHT($C$82,4)&amp;"*"&amp;AR$55&amp;"*"&amp;"A"</f>
        <v>199*2020*7400*A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 t="e">
        <f t="shared" si="24"/>
        <v>#DIV/0!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str">
        <f>RIGHT($C$83,3)&amp;"*"&amp;RIGHT($C$82,4)&amp;"*"&amp;AS$55&amp;"*"&amp;"A"</f>
        <v>199*2020*7410*A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 t="e">
        <f t="shared" si="24"/>
        <v>#DIV/0!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str">
        <f>RIGHT($C$83,3)&amp;"*"&amp;RIGHT($C$82,4)&amp;"*"&amp;AT$55&amp;"*"&amp;"A"</f>
        <v>199*2020*7420*A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 t="e">
        <f t="shared" si="24"/>
        <v>#DIV/0!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str">
        <f>RIGHT($C$83,3)&amp;"*"&amp;RIGHT($C$82,4)&amp;"*"&amp;AU$55&amp;"*"&amp;"A"</f>
        <v>199*2020*7430*A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 t="e">
        <f t="shared" si="24"/>
        <v>#DIV/0!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str">
        <f>RIGHT($C$83,3)&amp;"*"&amp;RIGHT($C$82,4)&amp;"*"&amp;AV$55&amp;"*"&amp;"A"</f>
        <v>199*2020*7490*A</v>
      </c>
      <c r="B779" s="273"/>
      <c r="C779" s="275">
        <f>ROUND(AV60,2)</f>
        <v>0</v>
      </c>
      <c r="D779" s="273">
        <f>ROUND(AV61,0)</f>
        <v>0</v>
      </c>
      <c r="E779" s="273">
        <f>ROUND(AV62,0)</f>
        <v>0</v>
      </c>
      <c r="F779" s="273">
        <f>ROUND(AV63,0)</f>
        <v>0</v>
      </c>
      <c r="G779" s="273">
        <f>ROUND(AV64,0)</f>
        <v>0</v>
      </c>
      <c r="H779" s="273">
        <f>ROUND(AV65,0)</f>
        <v>0</v>
      </c>
      <c r="I779" s="273">
        <f>ROUND(AV66,0)</f>
        <v>0</v>
      </c>
      <c r="J779" s="273">
        <f>ROUND(AV67,0)</f>
        <v>0</v>
      </c>
      <c r="K779" s="273">
        <f>ROUND(AV68,0)</f>
        <v>0</v>
      </c>
      <c r="L779" s="273">
        <f>ROUND(AV69,0)</f>
        <v>0</v>
      </c>
      <c r="M779" s="273">
        <f>ROUND(AV70,0)</f>
        <v>0</v>
      </c>
      <c r="N779" s="273">
        <f>ROUND(AV75,0)</f>
        <v>115884</v>
      </c>
      <c r="O779" s="273">
        <f>ROUND(AV73,0)</f>
        <v>29930</v>
      </c>
      <c r="P779" s="273">
        <f>IF(AV76&gt;0,ROUND(AV76,0),0)</f>
        <v>0</v>
      </c>
      <c r="Q779" s="273">
        <f>IF(AV77&gt;0,ROUND(AV77,0),0)</f>
        <v>0</v>
      </c>
      <c r="R779" s="273">
        <f>IF(AV78&gt;0,ROUND(AV78,0),0)</f>
        <v>0</v>
      </c>
      <c r="S779" s="273">
        <f>IF(AV79&gt;0,ROUND(AV79,0),0)</f>
        <v>0</v>
      </c>
      <c r="T779" s="275">
        <f>IF(AV80&gt;0,ROUND(AV80,2),0)</f>
        <v>0</v>
      </c>
      <c r="U779" s="273"/>
      <c r="V779" s="274"/>
      <c r="W779" s="273"/>
      <c r="X779" s="273"/>
      <c r="Y779" s="273" t="e">
        <f t="shared" si="24"/>
        <v>#DIV/0!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str">
        <f>RIGHT($C$83,3)&amp;"*"&amp;RIGHT($C$82,4)&amp;"*"&amp;AW$55&amp;"*"&amp;"A"</f>
        <v>199*2020*8200*A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str">
        <f>RIGHT($C$83,3)&amp;"*"&amp;RIGHT($C$82,4)&amp;"*"&amp;AX$55&amp;"*"&amp;"A"</f>
        <v>199*2020*8310*A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str">
        <f>RIGHT($C$83,3)&amp;"*"&amp;RIGHT($C$82,4)&amp;"*"&amp;AY$55&amp;"*"&amp;"A"</f>
        <v>199*2020*8320*A</v>
      </c>
      <c r="B782" s="273">
        <f>ROUND(AY59,0)</f>
        <v>29347</v>
      </c>
      <c r="C782" s="275">
        <f>ROUND(AY60,2)</f>
        <v>0.7</v>
      </c>
      <c r="D782" s="273">
        <f>ROUND(AY61,0)</f>
        <v>5936</v>
      </c>
      <c r="E782" s="273">
        <f>ROUND(AY62,0)</f>
        <v>696</v>
      </c>
      <c r="F782" s="273">
        <f>ROUND(AY63,0)</f>
        <v>0</v>
      </c>
      <c r="G782" s="273">
        <f>ROUND(AY64,0)</f>
        <v>203791</v>
      </c>
      <c r="H782" s="273">
        <f>ROUND(AY65,0)</f>
        <v>0</v>
      </c>
      <c r="I782" s="273">
        <f>ROUND(AY66,0)</f>
        <v>5340</v>
      </c>
      <c r="J782" s="273">
        <f>ROUND(AY67,0)</f>
        <v>16912</v>
      </c>
      <c r="K782" s="273">
        <f>ROUND(AY68,0)</f>
        <v>0</v>
      </c>
      <c r="L782" s="273">
        <f>ROUND(AY69,0)</f>
        <v>2989</v>
      </c>
      <c r="M782" s="273">
        <f>ROUND(AY70,0)</f>
        <v>0</v>
      </c>
      <c r="N782" s="273"/>
      <c r="O782" s="273"/>
      <c r="P782" s="273">
        <f>IF(AY76&gt;0,ROUND(AY76,0),0)</f>
        <v>1663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str">
        <f>RIGHT($C$83,3)&amp;"*"&amp;RIGHT($C$82,4)&amp;"*"&amp;AZ$55&amp;"*"&amp;"A"</f>
        <v>199*2020*8330*A</v>
      </c>
      <c r="B783" s="273">
        <f>ROUND(AZ59,0)</f>
        <v>0</v>
      </c>
      <c r="C783" s="275">
        <f>ROUND(AZ60,2)</f>
        <v>7.04</v>
      </c>
      <c r="D783" s="273">
        <f>ROUND(AZ61,0)</f>
        <v>233250</v>
      </c>
      <c r="E783" s="273">
        <f>ROUND(AZ62,0)</f>
        <v>87254</v>
      </c>
      <c r="F783" s="273">
        <f>ROUND(AZ63,0)</f>
        <v>0</v>
      </c>
      <c r="G783" s="273">
        <f>ROUND(AZ64,0)</f>
        <v>30384</v>
      </c>
      <c r="H783" s="273">
        <f>ROUND(AZ65,0)</f>
        <v>0</v>
      </c>
      <c r="I783" s="273">
        <f>ROUND(AZ66,0)</f>
        <v>180240</v>
      </c>
      <c r="J783" s="273">
        <f>ROUND(AZ67,0)</f>
        <v>0</v>
      </c>
      <c r="K783" s="273">
        <f>ROUND(AZ68,0)</f>
        <v>0</v>
      </c>
      <c r="L783" s="273">
        <f>ROUND(AZ69,0)</f>
        <v>1698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str">
        <f>RIGHT($C$83,3)&amp;"*"&amp;RIGHT($C$82,4)&amp;"*"&amp;BA$55&amp;"*"&amp;"A"</f>
        <v>199*2020*8350*A</v>
      </c>
      <c r="B784" s="273">
        <f>ROUND(BA59,0)</f>
        <v>0</v>
      </c>
      <c r="C784" s="275">
        <f>ROUND(BA60,2)</f>
        <v>0</v>
      </c>
      <c r="D784" s="273">
        <f>ROUND(BA61,0)</f>
        <v>0</v>
      </c>
      <c r="E784" s="273">
        <f>ROUND(BA62,0)</f>
        <v>0</v>
      </c>
      <c r="F784" s="273">
        <f>ROUND(BA63,0)</f>
        <v>0</v>
      </c>
      <c r="G784" s="273">
        <f>ROUND(BA64,0)</f>
        <v>0</v>
      </c>
      <c r="H784" s="273">
        <f>ROUND(BA65,0)</f>
        <v>0</v>
      </c>
      <c r="I784" s="273">
        <f>ROUND(BA66,0)</f>
        <v>46</v>
      </c>
      <c r="J784" s="273">
        <f>ROUND(BA67,0)</f>
        <v>0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0</v>
      </c>
      <c r="Q784" s="273">
        <f>IF(BA77&gt;0,ROUND(BA77,0),0)</f>
        <v>0</v>
      </c>
      <c r="R784" s="273">
        <f>IF(BA78&gt;0,ROUND(BA78,0),0)</f>
        <v>0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str">
        <f>RIGHT($C$83,3)&amp;"*"&amp;RIGHT($C$82,4)&amp;"*"&amp;BB$55&amp;"*"&amp;"A"</f>
        <v>199*2020*8360*A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str">
        <f>RIGHT($C$83,3)&amp;"*"&amp;RIGHT($C$82,4)&amp;"*"&amp;BC$55&amp;"*"&amp;"A"</f>
        <v>199*2020*8370*A</v>
      </c>
      <c r="B786" s="273"/>
      <c r="C786" s="275">
        <f>ROUND(BC60,2)</f>
        <v>0</v>
      </c>
      <c r="D786" s="273">
        <f>ROUND(BC61,0)</f>
        <v>0</v>
      </c>
      <c r="E786" s="273">
        <f>ROUND(BC62,0)</f>
        <v>0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str">
        <f>RIGHT($C$83,3)&amp;"*"&amp;RIGHT($C$82,4)&amp;"*"&amp;BD$55&amp;"*"&amp;"A"</f>
        <v>199*2020*8420*A</v>
      </c>
      <c r="B787" s="273"/>
      <c r="C787" s="275">
        <f>ROUND(BD60,2)</f>
        <v>3.56</v>
      </c>
      <c r="D787" s="273">
        <f>ROUND(BD61,0)</f>
        <v>134049</v>
      </c>
      <c r="E787" s="273">
        <f>ROUND(BD62,0)</f>
        <v>49696</v>
      </c>
      <c r="F787" s="273">
        <f>ROUND(BD63,0)</f>
        <v>0</v>
      </c>
      <c r="G787" s="273">
        <f>ROUND(BD64,0)</f>
        <v>44522</v>
      </c>
      <c r="H787" s="273">
        <f>ROUND(BD65,0)</f>
        <v>0</v>
      </c>
      <c r="I787" s="273">
        <f>ROUND(BD66,0)</f>
        <v>7364</v>
      </c>
      <c r="J787" s="273">
        <f>ROUND(BD67,0)</f>
        <v>21641</v>
      </c>
      <c r="K787" s="273">
        <f>ROUND(BD68,0)</f>
        <v>0</v>
      </c>
      <c r="L787" s="273">
        <f>ROUND(BD69,0)</f>
        <v>-56346</v>
      </c>
      <c r="M787" s="273">
        <f>ROUND(BD70,0)</f>
        <v>0</v>
      </c>
      <c r="N787" s="273"/>
      <c r="O787" s="273"/>
      <c r="P787" s="273">
        <f>IF(BD76&gt;0,ROUND(BD76,0),0)</f>
        <v>2128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str">
        <f>RIGHT($C$83,3)&amp;"*"&amp;RIGHT($C$82,4)&amp;"*"&amp;BE$55&amp;"*"&amp;"A"</f>
        <v>199*2020*8430*A</v>
      </c>
      <c r="B788" s="273">
        <f>ROUND(BE59,0)</f>
        <v>70293</v>
      </c>
      <c r="C788" s="275">
        <f>ROUND(BE60,2)</f>
        <v>2.1800000000000002</v>
      </c>
      <c r="D788" s="273">
        <f>ROUND(BE61,0)</f>
        <v>107878</v>
      </c>
      <c r="E788" s="273">
        <f>ROUND(BE62,0)</f>
        <v>48215</v>
      </c>
      <c r="F788" s="273">
        <f>ROUND(BE63,0)</f>
        <v>0</v>
      </c>
      <c r="G788" s="273">
        <f>ROUND(BE64,0)</f>
        <v>2675</v>
      </c>
      <c r="H788" s="273">
        <f>ROUND(BE65,0)</f>
        <v>398120</v>
      </c>
      <c r="I788" s="273">
        <f>ROUND(BE66,0)</f>
        <v>225570</v>
      </c>
      <c r="J788" s="273">
        <f>ROUND(BE67,0)</f>
        <v>31597</v>
      </c>
      <c r="K788" s="273">
        <f>ROUND(BE68,0)</f>
        <v>22635</v>
      </c>
      <c r="L788" s="273">
        <f>ROUND(BE69,0)</f>
        <v>30938</v>
      </c>
      <c r="M788" s="273">
        <f>ROUND(BE70,0)</f>
        <v>0</v>
      </c>
      <c r="N788" s="273"/>
      <c r="O788" s="273"/>
      <c r="P788" s="273">
        <f>IF(BE76&gt;0,ROUND(BE76,0),0)</f>
        <v>3107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str">
        <f>RIGHT($C$83,3)&amp;"*"&amp;RIGHT($C$82,4)&amp;"*"&amp;BF$55&amp;"*"&amp;"A"</f>
        <v>199*2020*8460*A</v>
      </c>
      <c r="B789" s="273"/>
      <c r="C789" s="275">
        <f>ROUND(BF60,2)</f>
        <v>7.29</v>
      </c>
      <c r="D789" s="273">
        <f>ROUND(BF61,0)</f>
        <v>230725</v>
      </c>
      <c r="E789" s="273">
        <f>ROUND(BF62,0)</f>
        <v>127545</v>
      </c>
      <c r="F789" s="273">
        <f>ROUND(BF63,0)</f>
        <v>0</v>
      </c>
      <c r="G789" s="273">
        <f>ROUND(BF64,0)</f>
        <v>87665</v>
      </c>
      <c r="H789" s="273">
        <f>ROUND(BF65,0)</f>
        <v>0</v>
      </c>
      <c r="I789" s="273">
        <f>ROUND(BF66,0)</f>
        <v>0</v>
      </c>
      <c r="J789" s="273">
        <f>ROUND(BF67,0)</f>
        <v>8115</v>
      </c>
      <c r="K789" s="273">
        <f>ROUND(BF68,0)</f>
        <v>0</v>
      </c>
      <c r="L789" s="273">
        <f>ROUND(BF69,0)</f>
        <v>1104</v>
      </c>
      <c r="M789" s="273">
        <f>ROUND(BF70,0)</f>
        <v>0</v>
      </c>
      <c r="N789" s="273"/>
      <c r="O789" s="273"/>
      <c r="P789" s="273">
        <f>IF(BF76&gt;0,ROUND(BF76,0),0)</f>
        <v>798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str">
        <f>RIGHT($C$83,3)&amp;"*"&amp;RIGHT($C$82,4)&amp;"*"&amp;BG$55&amp;"*"&amp;"A"</f>
        <v>199*2020*8470*A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8929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str">
        <f>RIGHT($C$83,3)&amp;"*"&amp;RIGHT($C$82,4)&amp;"*"&amp;BH$55&amp;"*"&amp;"A"</f>
        <v>199*2020*8480*A</v>
      </c>
      <c r="B791" s="273"/>
      <c r="C791" s="275">
        <f>ROUND(BH60,2)</f>
        <v>0.23</v>
      </c>
      <c r="D791" s="273">
        <f>ROUND(BH61,0)</f>
        <v>15902</v>
      </c>
      <c r="E791" s="273">
        <f>ROUND(BH62,0)</f>
        <v>1646</v>
      </c>
      <c r="F791" s="273">
        <f>ROUND(BH63,0)</f>
        <v>0</v>
      </c>
      <c r="G791" s="273">
        <f>ROUND(BH64,0)</f>
        <v>5325</v>
      </c>
      <c r="H791" s="273">
        <f>ROUND(BH65,0)</f>
        <v>9585</v>
      </c>
      <c r="I791" s="273">
        <f>ROUND(BH66,0)</f>
        <v>1362</v>
      </c>
      <c r="J791" s="273">
        <f>ROUND(BH67,0)</f>
        <v>2847</v>
      </c>
      <c r="K791" s="273">
        <f>ROUND(BH68,0)</f>
        <v>0</v>
      </c>
      <c r="L791" s="273">
        <f>ROUND(BH69,0)</f>
        <v>598</v>
      </c>
      <c r="M791" s="273">
        <f>ROUND(BH70,0)</f>
        <v>0</v>
      </c>
      <c r="N791" s="273"/>
      <c r="O791" s="273"/>
      <c r="P791" s="273">
        <f>IF(BH76&gt;0,ROUND(BH76,0),0)</f>
        <v>280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str">
        <f>RIGHT($C$83,3)&amp;"*"&amp;RIGHT($C$82,4)&amp;"*"&amp;BI$55&amp;"*"&amp;"A"</f>
        <v>199*2020*8490*A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str">
        <f>RIGHT($C$83,3)&amp;"*"&amp;RIGHT($C$82,4)&amp;"*"&amp;BJ$55&amp;"*"&amp;"A"</f>
        <v>199*2020*8510*A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str">
        <f>RIGHT($C$83,3)&amp;"*"&amp;RIGHT($C$82,4)&amp;"*"&amp;BK$55&amp;"*"&amp;"A"</f>
        <v>199*2020*8530*A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82</v>
      </c>
      <c r="H794" s="273">
        <f>ROUND(BK65,0)</f>
        <v>0</v>
      </c>
      <c r="I794" s="273">
        <f>ROUND(BK66,0)</f>
        <v>15226</v>
      </c>
      <c r="J794" s="273">
        <f>ROUND(BK67,0)</f>
        <v>25424</v>
      </c>
      <c r="K794" s="273">
        <f>ROUND(BK68,0)</f>
        <v>0</v>
      </c>
      <c r="L794" s="273">
        <f>ROUND(BK69,0)</f>
        <v>0</v>
      </c>
      <c r="M794" s="273">
        <f>ROUND(BK70,0)</f>
        <v>0</v>
      </c>
      <c r="N794" s="273"/>
      <c r="O794" s="273"/>
      <c r="P794" s="273">
        <f>IF(BK76&gt;0,ROUND(BK76,0),0)</f>
        <v>2500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str">
        <f>RIGHT($C$83,3)&amp;"*"&amp;RIGHT($C$82,4)&amp;"*"&amp;BL$55&amp;"*"&amp;"A"</f>
        <v>199*2020*8560*A</v>
      </c>
      <c r="B795" s="273"/>
      <c r="C795" s="275">
        <f>ROUND(BL60,2)</f>
        <v>11.15</v>
      </c>
      <c r="D795" s="273">
        <f>ROUND(BL61,0)</f>
        <v>398522</v>
      </c>
      <c r="E795" s="273">
        <f>ROUND(BL62,0)</f>
        <v>147693</v>
      </c>
      <c r="F795" s="273">
        <f>ROUND(BL63,0)</f>
        <v>0</v>
      </c>
      <c r="G795" s="273">
        <f>ROUND(BL64,0)</f>
        <v>9285</v>
      </c>
      <c r="H795" s="273">
        <f>ROUND(BL65,0)</f>
        <v>0</v>
      </c>
      <c r="I795" s="273">
        <f>ROUND(BL66,0)</f>
        <v>0</v>
      </c>
      <c r="J795" s="273">
        <f>ROUND(BL67,0)</f>
        <v>0</v>
      </c>
      <c r="K795" s="273">
        <f>ROUND(BL68,0)</f>
        <v>0</v>
      </c>
      <c r="L795" s="273">
        <f>ROUND(BL69,0)</f>
        <v>0</v>
      </c>
      <c r="M795" s="273">
        <f>ROUND(BL70,0)</f>
        <v>0</v>
      </c>
      <c r="N795" s="273"/>
      <c r="O795" s="273"/>
      <c r="P795" s="273">
        <f>IF(BL76&gt;0,ROUND(BL76,0),0)</f>
        <v>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str">
        <f>RIGHT($C$83,3)&amp;"*"&amp;RIGHT($C$82,4)&amp;"*"&amp;BM$55&amp;"*"&amp;"A"</f>
        <v>199*2020*8590*A</v>
      </c>
      <c r="B796" s="273"/>
      <c r="C796" s="275">
        <f>ROUND(BM60,2)</f>
        <v>1.05</v>
      </c>
      <c r="D796" s="273">
        <f>ROUND(BM61,0)</f>
        <v>52985</v>
      </c>
      <c r="E796" s="273">
        <f>ROUND(BM62,0)</f>
        <v>45552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11912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str">
        <f>RIGHT($C$83,3)&amp;"*"&amp;RIGHT($C$82,4)&amp;"*"&amp;BN$55&amp;"*"&amp;"A"</f>
        <v>199*2020*8610*A</v>
      </c>
      <c r="B797" s="273"/>
      <c r="C797" s="275">
        <f>ROUND(BN60,2)</f>
        <v>1.1599999999999999</v>
      </c>
      <c r="D797" s="273">
        <f>ROUND(BN61,0)</f>
        <v>59045</v>
      </c>
      <c r="E797" s="273">
        <f>ROUND(BN62,0)</f>
        <v>-2352926</v>
      </c>
      <c r="F797" s="273">
        <f>ROUND(BN63,0)</f>
        <v>3500</v>
      </c>
      <c r="G797" s="273">
        <f>ROUND(BN64,0)</f>
        <v>-66612</v>
      </c>
      <c r="H797" s="273">
        <f>ROUND(BN65,0)</f>
        <v>-24753</v>
      </c>
      <c r="I797" s="273">
        <f>ROUND(BN66,0)</f>
        <v>4327589</v>
      </c>
      <c r="J797" s="273">
        <f>ROUND(BN67,0)</f>
        <v>22302</v>
      </c>
      <c r="K797" s="273">
        <f>ROUND(BN68,0)</f>
        <v>14571</v>
      </c>
      <c r="L797" s="273">
        <f>ROUND(BN69,0)</f>
        <v>848982</v>
      </c>
      <c r="M797" s="273">
        <f>ROUND(BN70,0)</f>
        <v>0</v>
      </c>
      <c r="N797" s="273"/>
      <c r="O797" s="273"/>
      <c r="P797" s="273">
        <f>IF(BN76&gt;0,ROUND(BN76,0),0)</f>
        <v>2193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str">
        <f>RIGHT($C$83,3)&amp;"*"&amp;RIGHT($C$82,4)&amp;"*"&amp;BO$55&amp;"*"&amp;"A"</f>
        <v>199*2020*8620*A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str">
        <f>RIGHT($C$83,3)&amp;"*"&amp;RIGHT($C$82,4)&amp;"*"&amp;BP$55&amp;"*"&amp;"A"</f>
        <v>199*2020*8630*A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str">
        <f>RIGHT($C$83,3)&amp;"*"&amp;RIGHT($C$82,4)&amp;"*"&amp;BQ$55&amp;"*"&amp;"A"</f>
        <v>199*2020*8640*A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str">
        <f>RIGHT($C$83,3)&amp;"*"&amp;RIGHT($C$82,4)&amp;"*"&amp;BR$55&amp;"*"&amp;"A"</f>
        <v>199*2020*8650*A</v>
      </c>
      <c r="B801" s="273"/>
      <c r="C801" s="275">
        <f>ROUND(BR60,2)</f>
        <v>0.73</v>
      </c>
      <c r="D801" s="273">
        <f>ROUND(BR61,0)</f>
        <v>23224</v>
      </c>
      <c r="E801" s="273">
        <f>ROUND(BR62,0)</f>
        <v>6419</v>
      </c>
      <c r="F801" s="273">
        <f>ROUND(BR63,0)</f>
        <v>0</v>
      </c>
      <c r="G801" s="273">
        <f>ROUND(BR64,0)</f>
        <v>3352</v>
      </c>
      <c r="H801" s="273">
        <f>ROUND(BR65,0)</f>
        <v>0</v>
      </c>
      <c r="I801" s="273">
        <f>ROUND(BR66,0)</f>
        <v>-1699</v>
      </c>
      <c r="J801" s="273">
        <f>ROUND(BR67,0)</f>
        <v>4149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408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str">
        <f>RIGHT($C$83,3)&amp;"*"&amp;RIGHT($C$82,4)&amp;"*"&amp;BS$55&amp;"*"&amp;"A"</f>
        <v>199*2020*8660*A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3051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300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str">
        <f>RIGHT($C$83,3)&amp;"*"&amp;RIGHT($C$82,4)&amp;"*"&amp;BT$55&amp;"*"&amp;"A"</f>
        <v>199*2020*8670*A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3864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380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str">
        <f>RIGHT($C$83,3)&amp;"*"&amp;RIGHT($C$82,4)&amp;"*"&amp;BU$55&amp;"*"&amp;"A"</f>
        <v>199*2020*8680*A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str">
        <f>RIGHT($C$83,3)&amp;"*"&amp;RIGHT($C$82,4)&amp;"*"&amp;BV$55&amp;"*"&amp;"A"</f>
        <v>199*2020*8690*A</v>
      </c>
      <c r="B805" s="273"/>
      <c r="C805" s="275">
        <f>ROUND(BV60,2)</f>
        <v>4.9800000000000004</v>
      </c>
      <c r="D805" s="273">
        <f>ROUND(BV61,0)</f>
        <v>253533</v>
      </c>
      <c r="E805" s="273">
        <f>ROUND(BV62,0)</f>
        <v>87900</v>
      </c>
      <c r="F805" s="273">
        <f>ROUND(BV63,0)</f>
        <v>0</v>
      </c>
      <c r="G805" s="273">
        <f>ROUND(BV64,0)</f>
        <v>2071</v>
      </c>
      <c r="H805" s="273">
        <f>ROUND(BV65,0)</f>
        <v>0</v>
      </c>
      <c r="I805" s="273">
        <f>ROUND(BV66,0)</f>
        <v>6725</v>
      </c>
      <c r="J805" s="273">
        <f>ROUND(BV67,0)</f>
        <v>13831</v>
      </c>
      <c r="K805" s="273">
        <f>ROUND(BV68,0)</f>
        <v>8434</v>
      </c>
      <c r="L805" s="273">
        <f>ROUND(BV69,0)</f>
        <v>72254</v>
      </c>
      <c r="M805" s="273">
        <f>ROUND(BV70,0)</f>
        <v>0</v>
      </c>
      <c r="N805" s="273"/>
      <c r="O805" s="273"/>
      <c r="P805" s="273">
        <f>IF(BV76&gt;0,ROUND(BV76,0),0)</f>
        <v>1360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str">
        <f>RIGHT($C$83,3)&amp;"*"&amp;RIGHT($C$82,4)&amp;"*"&amp;BW$55&amp;"*"&amp;"A"</f>
        <v>199*2020*8700*A</v>
      </c>
      <c r="B806" s="273"/>
      <c r="C806" s="275">
        <f>ROUND(BW60,2)</f>
        <v>0</v>
      </c>
      <c r="D806" s="273">
        <f>ROUND(BW61,0)</f>
        <v>0</v>
      </c>
      <c r="E806" s="273">
        <f>ROUND(BW62,0)</f>
        <v>0</v>
      </c>
      <c r="F806" s="273">
        <f>ROUND(BW63,0)</f>
        <v>0</v>
      </c>
      <c r="G806" s="273">
        <f>ROUND(BW64,0)</f>
        <v>0</v>
      </c>
      <c r="H806" s="273">
        <f>ROUND(BW65,0)</f>
        <v>0</v>
      </c>
      <c r="I806" s="273">
        <f>ROUND(BW66,0)</f>
        <v>0</v>
      </c>
      <c r="J806" s="273">
        <f>ROUND(BW67,0)</f>
        <v>0</v>
      </c>
      <c r="K806" s="273">
        <f>ROUND(BW68,0)</f>
        <v>0</v>
      </c>
      <c r="L806" s="273">
        <f>ROUND(BW69,0)</f>
        <v>0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str">
        <f>RIGHT($C$83,3)&amp;"*"&amp;RIGHT($C$82,4)&amp;"*"&amp;BX$55&amp;"*"&amp;"A"</f>
        <v>199*2020*8710*A</v>
      </c>
      <c r="B807" s="273"/>
      <c r="C807" s="275">
        <f>ROUND(BX60,2)</f>
        <v>2.2599999999999998</v>
      </c>
      <c r="D807" s="273">
        <f>ROUND(BX61,0)</f>
        <v>186542</v>
      </c>
      <c r="E807" s="273">
        <f>ROUND(BX62,0)</f>
        <v>43294</v>
      </c>
      <c r="F807" s="273">
        <f>ROUND(BX63,0)</f>
        <v>0</v>
      </c>
      <c r="G807" s="273">
        <f>ROUND(BX64,0)</f>
        <v>67860</v>
      </c>
      <c r="H807" s="273">
        <f>ROUND(BX65,0)</f>
        <v>0</v>
      </c>
      <c r="I807" s="273">
        <f>ROUND(BX66,0)</f>
        <v>20025</v>
      </c>
      <c r="J807" s="273">
        <f>ROUND(BX67,0)</f>
        <v>3295</v>
      </c>
      <c r="K807" s="273">
        <f>ROUND(BX68,0)</f>
        <v>0</v>
      </c>
      <c r="L807" s="273">
        <f>ROUND(BX69,0)</f>
        <v>460</v>
      </c>
      <c r="M807" s="273">
        <f>ROUND(BX70,0)</f>
        <v>0</v>
      </c>
      <c r="N807" s="273"/>
      <c r="O807" s="273"/>
      <c r="P807" s="273">
        <f>IF(BX76&gt;0,ROUND(BX76,0),0)</f>
        <v>324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str">
        <f>RIGHT($C$83,3)&amp;"*"&amp;RIGHT($C$82,4)&amp;"*"&amp;BY$55&amp;"*"&amp;"A"</f>
        <v>199*2020*8720*A</v>
      </c>
      <c r="B808" s="273"/>
      <c r="C808" s="275">
        <f>ROUND(BY60,2)</f>
        <v>3.24</v>
      </c>
      <c r="D808" s="273">
        <f>ROUND(BY61,0)</f>
        <v>287290</v>
      </c>
      <c r="E808" s="273">
        <f>ROUND(BY62,0)</f>
        <v>79814</v>
      </c>
      <c r="F808" s="273">
        <f>ROUND(BY63,0)</f>
        <v>0</v>
      </c>
      <c r="G808" s="273">
        <f>ROUND(BY64,0)</f>
        <v>484</v>
      </c>
      <c r="H808" s="273">
        <f>ROUND(BY65,0)</f>
        <v>1467</v>
      </c>
      <c r="I808" s="273">
        <f>ROUND(BY66,0)</f>
        <v>31349</v>
      </c>
      <c r="J808" s="273">
        <f>ROUND(BY67,0)</f>
        <v>0</v>
      </c>
      <c r="K808" s="273">
        <f>ROUND(BY68,0)</f>
        <v>0</v>
      </c>
      <c r="L808" s="273">
        <f>ROUND(BY69,0)</f>
        <v>3313</v>
      </c>
      <c r="M808" s="273">
        <f>ROUND(BY70,0)</f>
        <v>0</v>
      </c>
      <c r="N808" s="273"/>
      <c r="O808" s="273"/>
      <c r="P808" s="273">
        <f>IF(BY76&gt;0,ROUND(BY76,0),0)</f>
        <v>0</v>
      </c>
      <c r="Q808" s="273">
        <f>IF(BY77&gt;0,ROUND(BY77,0),0)</f>
        <v>0</v>
      </c>
      <c r="R808" s="273">
        <f>IF(BY78&gt;0,ROUND(BY78,0),0)</f>
        <v>0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str">
        <f>RIGHT($C$83,3)&amp;"*"&amp;RIGHT($C$82,4)&amp;"*"&amp;BZ$55&amp;"*"&amp;"A"</f>
        <v>199*2020*8730*A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str">
        <f>RIGHT($C$83,3)&amp;"*"&amp;RIGHT($C$82,4)&amp;"*"&amp;CA$55&amp;"*"&amp;"A"</f>
        <v>199*2020*8740*A</v>
      </c>
      <c r="B810" s="273"/>
      <c r="C810" s="275">
        <f>ROUND(CA60,2)</f>
        <v>0</v>
      </c>
      <c r="D810" s="273">
        <f>ROUND(CA61,0)</f>
        <v>0</v>
      </c>
      <c r="E810" s="273">
        <f>ROUND(CA62,0)</f>
        <v>0</v>
      </c>
      <c r="F810" s="273">
        <f>ROUND(CA63,0)</f>
        <v>0</v>
      </c>
      <c r="G810" s="273">
        <f>ROUND(CA64,0)</f>
        <v>462</v>
      </c>
      <c r="H810" s="273">
        <f>ROUND(CA65,0)</f>
        <v>0</v>
      </c>
      <c r="I810" s="273">
        <f>ROUND(CA66,0)</f>
        <v>-6090</v>
      </c>
      <c r="J810" s="273">
        <f>ROUND(CA67,0)</f>
        <v>0</v>
      </c>
      <c r="K810" s="273">
        <f>ROUND(CA68,0)</f>
        <v>0</v>
      </c>
      <c r="L810" s="273">
        <f>ROUND(CA69,0)</f>
        <v>59987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str">
        <f>RIGHT($C$83,3)&amp;"*"&amp;RIGHT($C$82,4)&amp;"*"&amp;CB$55&amp;"*"&amp;"A"</f>
        <v>199*2020*8770*A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str">
        <f>RIGHT($C$83,3)&amp;"*"&amp;RIGHT($C$82,4)&amp;"*"&amp;CC$55&amp;"*"&amp;"A"</f>
        <v>199*2020*8790*A</v>
      </c>
      <c r="B812" s="273"/>
      <c r="C812" s="275">
        <f>ROUND(CC60,2)</f>
        <v>0</v>
      </c>
      <c r="D812" s="273">
        <f>ROUND(CC61,0)</f>
        <v>0</v>
      </c>
      <c r="E812" s="273">
        <f>ROUND(CC62,0)</f>
        <v>0</v>
      </c>
      <c r="F812" s="273">
        <f>ROUND(CC63,0)</f>
        <v>0</v>
      </c>
      <c r="G812" s="273">
        <f>ROUND(CC64,0)</f>
        <v>93434</v>
      </c>
      <c r="H812" s="273">
        <f>ROUND(CC65,0)</f>
        <v>0</v>
      </c>
      <c r="I812" s="273">
        <f>ROUND(CC66,0)</f>
        <v>26882</v>
      </c>
      <c r="J812" s="273">
        <f>ROUND(CC67,0)</f>
        <v>88048</v>
      </c>
      <c r="K812" s="273">
        <f>ROUND(CC68,0)</f>
        <v>0</v>
      </c>
      <c r="L812" s="273">
        <f>ROUND(CC69,0)</f>
        <v>248375</v>
      </c>
      <c r="M812" s="273">
        <f>ROUND(CC70,0)</f>
        <v>0</v>
      </c>
      <c r="N812" s="273"/>
      <c r="O812" s="273"/>
      <c r="P812" s="273">
        <f>IF(CC76&gt;0,ROUND(CC76,0),0)</f>
        <v>8658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str">
        <f>RIGHT($C$83,3)&amp;"*"&amp;RIGHT($C$82,4)&amp;"*"&amp;"9000"&amp;"*"&amp;"A"</f>
        <v>199*2020*9000*A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0</v>
      </c>
      <c r="V813" s="274">
        <f>ROUND(CD70,0)</f>
        <v>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5">SUM(C734:C813)</f>
        <v>234.88999999999993</v>
      </c>
      <c r="D815" s="274">
        <f t="shared" si="25"/>
        <v>15560913</v>
      </c>
      <c r="E815" s="274">
        <f t="shared" si="25"/>
        <v>2491885</v>
      </c>
      <c r="F815" s="274">
        <f t="shared" si="25"/>
        <v>2945721</v>
      </c>
      <c r="G815" s="274">
        <f>SUM(G734:G813)</f>
        <v>2782614</v>
      </c>
      <c r="H815" s="274">
        <f t="shared" si="25"/>
        <v>440091</v>
      </c>
      <c r="I815" s="274">
        <f t="shared" si="25"/>
        <v>8223838</v>
      </c>
      <c r="J815" s="274">
        <f t="shared" si="25"/>
        <v>714847</v>
      </c>
      <c r="K815" s="274">
        <f t="shared" si="25"/>
        <v>390654</v>
      </c>
      <c r="L815" s="274">
        <f>SUM(L734:L813)+SUM(U734:U813)</f>
        <v>1620385</v>
      </c>
      <c r="M815" s="274">
        <f>SUM(M734:M813)+SUM(V734:V813)</f>
        <v>0</v>
      </c>
      <c r="N815" s="274">
        <f t="shared" ref="N815:Y815" si="26">SUM(N734:N813)</f>
        <v>142163296</v>
      </c>
      <c r="O815" s="274">
        <f t="shared" si="26"/>
        <v>45555253</v>
      </c>
      <c r="P815" s="274">
        <f t="shared" si="26"/>
        <v>70293</v>
      </c>
      <c r="Q815" s="274">
        <f t="shared" si="26"/>
        <v>29347</v>
      </c>
      <c r="R815" s="274">
        <f t="shared" si="26"/>
        <v>0</v>
      </c>
      <c r="S815" s="274">
        <f t="shared" si="26"/>
        <v>230690</v>
      </c>
      <c r="T815" s="278">
        <f t="shared" si="26"/>
        <v>69.739999999999995</v>
      </c>
      <c r="U815" s="274">
        <f t="shared" si="26"/>
        <v>0</v>
      </c>
      <c r="V815" s="274">
        <f t="shared" si="26"/>
        <v>0</v>
      </c>
      <c r="W815" s="274">
        <f t="shared" si="26"/>
        <v>0</v>
      </c>
      <c r="X815" s="274">
        <f t="shared" si="26"/>
        <v>0</v>
      </c>
      <c r="Y815" s="274" t="e">
        <f t="shared" si="26"/>
        <v>#DIV/0!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234.8899999999999</v>
      </c>
      <c r="D816" s="274">
        <f>CE61</f>
        <v>15560911.349999998</v>
      </c>
      <c r="E816" s="274">
        <f>CE62</f>
        <v>2491885</v>
      </c>
      <c r="F816" s="274">
        <f>CE63</f>
        <v>2945719.9699999997</v>
      </c>
      <c r="G816" s="274">
        <f>CE64</f>
        <v>2782612.4999999995</v>
      </c>
      <c r="H816" s="277">
        <f>CE65</f>
        <v>440091.76999999996</v>
      </c>
      <c r="I816" s="277">
        <f>CE66</f>
        <v>8223836.4000000004</v>
      </c>
      <c r="J816" s="277">
        <f>CE67</f>
        <v>714847</v>
      </c>
      <c r="K816" s="277">
        <f>CE68</f>
        <v>390653.52000000008</v>
      </c>
      <c r="L816" s="277">
        <f>CE69</f>
        <v>1620385.6400000001</v>
      </c>
      <c r="M816" s="277">
        <f>CE70</f>
        <v>0</v>
      </c>
      <c r="N816" s="274">
        <f>CE75</f>
        <v>142163295.29999998</v>
      </c>
      <c r="O816" s="274">
        <f>CE73</f>
        <v>45555251.439999998</v>
      </c>
      <c r="P816" s="274">
        <f>CE76</f>
        <v>70293</v>
      </c>
      <c r="Q816" s="274">
        <f>CE77</f>
        <v>29347</v>
      </c>
      <c r="R816" s="274">
        <f>CE78</f>
        <v>0</v>
      </c>
      <c r="S816" s="274">
        <f>CE79</f>
        <v>230690</v>
      </c>
      <c r="T816" s="278">
        <f>CE80</f>
        <v>69.739999999999995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7600213.830000001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15560911</v>
      </c>
      <c r="E817" s="180">
        <f>C379</f>
        <v>2491885</v>
      </c>
      <c r="F817" s="180">
        <f>C380</f>
        <v>2945720</v>
      </c>
      <c r="G817" s="239">
        <f>C381</f>
        <v>2782613</v>
      </c>
      <c r="H817" s="239">
        <f>C382</f>
        <v>440092</v>
      </c>
      <c r="I817" s="239">
        <f>C383</f>
        <v>8223836</v>
      </c>
      <c r="J817" s="239">
        <f>C384</f>
        <v>714847</v>
      </c>
      <c r="K817" s="239">
        <f>C385</f>
        <v>390654</v>
      </c>
      <c r="L817" s="239">
        <f>C386+C387+C388+C389</f>
        <v>3232174.55</v>
      </c>
      <c r="M817" s="239">
        <f>C370</f>
        <v>196649.98</v>
      </c>
      <c r="N817" s="180">
        <f>D361</f>
        <v>142163295</v>
      </c>
      <c r="O817" s="180">
        <f>C359</f>
        <v>45555251</v>
      </c>
    </row>
  </sheetData>
  <sheetProtection algorithmName="SHA-512" hashValue="h7/YlTh4qM1BSl3HHCggdzMrHkTFi0twmxq63EXEs25vDdlH4C/BVE959X1LcdWaFW5VnvuFxpC1i6XcHngv1g==" saltValue="aEoLVt9kOo+yDmRzgCUwK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63" transitionEvaluation="1" transitionEntry="1" codeName="Sheet10">
    <pageSetUpPr autoPageBreaks="0" fitToPage="1"/>
  </sheetPr>
  <dimension ref="A1:CF816"/>
  <sheetViews>
    <sheetView showGridLines="0" topLeftCell="A163" zoomScale="75" workbookViewId="0">
      <selection activeCell="C385" sqref="C38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7" ht="12.75" customHeight="1" x14ac:dyDescent="0.35">
      <c r="A1" s="230" t="s">
        <v>1232</v>
      </c>
      <c r="B1" s="231"/>
      <c r="C1" s="231"/>
      <c r="D1" s="231"/>
      <c r="E1" s="231"/>
      <c r="F1" s="231"/>
    </row>
    <row r="2" spans="1:7" ht="12.75" customHeight="1" x14ac:dyDescent="0.35">
      <c r="A2" s="231" t="s">
        <v>1233</v>
      </c>
      <c r="B2" s="231"/>
      <c r="C2" s="232"/>
      <c r="D2" s="231"/>
      <c r="E2" s="231"/>
      <c r="F2" s="231"/>
    </row>
    <row r="3" spans="1:7" ht="12.75" customHeight="1" x14ac:dyDescent="0.35">
      <c r="A3" s="199"/>
      <c r="C3" s="233"/>
    </row>
    <row r="4" spans="1:7" ht="12.75" customHeight="1" x14ac:dyDescent="0.35">
      <c r="C4" s="233"/>
    </row>
    <row r="5" spans="1:7" ht="12.75" customHeight="1" x14ac:dyDescent="0.35">
      <c r="A5" s="199" t="s">
        <v>1260</v>
      </c>
      <c r="C5" s="233"/>
    </row>
    <row r="6" spans="1:7" ht="12.75" customHeight="1" x14ac:dyDescent="0.35">
      <c r="A6" s="199" t="s">
        <v>0</v>
      </c>
      <c r="C6" s="233"/>
    </row>
    <row r="7" spans="1:7" ht="12.75" customHeight="1" x14ac:dyDescent="0.35">
      <c r="A7" s="199" t="s">
        <v>1</v>
      </c>
      <c r="C7" s="233"/>
    </row>
    <row r="8" spans="1:7" ht="12.75" customHeight="1" x14ac:dyDescent="0.35">
      <c r="C8" s="233"/>
    </row>
    <row r="9" spans="1:7" ht="12.75" customHeight="1" x14ac:dyDescent="0.35">
      <c r="C9" s="233"/>
    </row>
    <row r="10" spans="1:7" ht="12.75" customHeight="1" x14ac:dyDescent="0.35">
      <c r="A10" s="198" t="s">
        <v>1228</v>
      </c>
      <c r="C10" s="233"/>
    </row>
    <row r="11" spans="1:7" ht="12.75" customHeight="1" x14ac:dyDescent="0.35">
      <c r="A11" s="198" t="s">
        <v>1231</v>
      </c>
      <c r="C11" s="233"/>
    </row>
    <row r="12" spans="1:7" ht="12.75" customHeight="1" x14ac:dyDescent="0.35">
      <c r="C12" s="233"/>
    </row>
    <row r="13" spans="1:7" ht="12.75" customHeight="1" x14ac:dyDescent="0.35">
      <c r="C13" s="233"/>
    </row>
    <row r="14" spans="1:7" ht="12.75" customHeight="1" x14ac:dyDescent="0.35">
      <c r="A14" s="199" t="s">
        <v>2</v>
      </c>
      <c r="C14" s="233"/>
    </row>
    <row r="15" spans="1:7" ht="12.75" customHeight="1" x14ac:dyDescent="0.35">
      <c r="A15" s="199"/>
      <c r="C15" s="233"/>
    </row>
    <row r="16" spans="1:7" ht="12.75" customHeight="1" x14ac:dyDescent="0.35">
      <c r="A16" s="180" t="s">
        <v>1262</v>
      </c>
      <c r="C16" s="233"/>
      <c r="E16" s="285"/>
      <c r="G16" s="180" t="s">
        <v>1259</v>
      </c>
    </row>
    <row r="17" spans="1:6" ht="12.75" customHeight="1" x14ac:dyDescent="0.35">
      <c r="A17" s="180" t="s">
        <v>1230</v>
      </c>
      <c r="C17" s="285" t="s">
        <v>1259</v>
      </c>
    </row>
    <row r="18" spans="1:6" ht="12.75" customHeight="1" x14ac:dyDescent="0.35">
      <c r="A18" s="227"/>
      <c r="C18" s="233"/>
    </row>
    <row r="19" spans="1:6" ht="12.75" customHeight="1" x14ac:dyDescent="0.35">
      <c r="C19" s="233"/>
    </row>
    <row r="20" spans="1:6" ht="12.75" customHeight="1" x14ac:dyDescent="0.35">
      <c r="A20" s="234" t="s">
        <v>1234</v>
      </c>
      <c r="B20" s="234"/>
      <c r="C20" s="235"/>
      <c r="D20" s="234"/>
      <c r="E20" s="234"/>
      <c r="F20" s="234"/>
    </row>
    <row r="21" spans="1:6" ht="22.5" customHeight="1" x14ac:dyDescent="0.35">
      <c r="A21" s="199"/>
      <c r="C21" s="233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3"/>
    </row>
    <row r="24" spans="1:6" ht="12.65" customHeight="1" x14ac:dyDescent="0.35">
      <c r="A24" s="239" t="s">
        <v>3</v>
      </c>
      <c r="C24" s="233"/>
    </row>
    <row r="25" spans="1:6" ht="12.65" customHeight="1" x14ac:dyDescent="0.35">
      <c r="A25" s="198" t="s">
        <v>1235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1236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1237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1238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138909.32</v>
      </c>
      <c r="D47" s="184"/>
      <c r="E47" s="184">
        <v>403363.01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291425.36</v>
      </c>
      <c r="P47" s="184">
        <v>140150.31</v>
      </c>
      <c r="Q47" s="184">
        <v>23899.16</v>
      </c>
      <c r="R47" s="184"/>
      <c r="S47" s="184">
        <v>75377.100000000006</v>
      </c>
      <c r="T47" s="184"/>
      <c r="U47" s="184">
        <v>194134.22</v>
      </c>
      <c r="V47" s="184">
        <v>28.61</v>
      </c>
      <c r="W47" s="184">
        <v>1144.58</v>
      </c>
      <c r="X47" s="184">
        <v>30420.400000000001</v>
      </c>
      <c r="Y47" s="184">
        <v>218455.62</v>
      </c>
      <c r="Z47" s="184"/>
      <c r="AA47" s="184"/>
      <c r="AB47" s="184">
        <v>80272.929999999993</v>
      </c>
      <c r="AC47" s="184">
        <v>111932.28</v>
      </c>
      <c r="AD47" s="184"/>
      <c r="AE47" s="184"/>
      <c r="AF47" s="184"/>
      <c r="AG47" s="184">
        <v>328624.08</v>
      </c>
      <c r="AH47" s="184"/>
      <c r="AI47" s="184"/>
      <c r="AJ47" s="184">
        <v>410688.44</v>
      </c>
      <c r="AK47" s="184"/>
      <c r="AL47" s="184">
        <v>82.22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11593.5</v>
      </c>
      <c r="AZ47" s="184">
        <v>30053.42</v>
      </c>
      <c r="BA47" s="184"/>
      <c r="BB47" s="184"/>
      <c r="BC47" s="184"/>
      <c r="BD47" s="184">
        <v>31676.03</v>
      </c>
      <c r="BE47" s="184">
        <v>39672.33</v>
      </c>
      <c r="BF47" s="184">
        <v>82991.7</v>
      </c>
      <c r="BG47" s="184"/>
      <c r="BH47" s="184"/>
      <c r="BI47" s="184"/>
      <c r="BJ47" s="184"/>
      <c r="BK47" s="184"/>
      <c r="BL47" s="184">
        <v>143745.26999999999</v>
      </c>
      <c r="BM47" s="184">
        <v>471.63</v>
      </c>
      <c r="BN47" s="184">
        <v>-1289103.79</v>
      </c>
      <c r="BO47" s="184"/>
      <c r="BP47" s="184"/>
      <c r="BQ47" s="184"/>
      <c r="BR47" s="184">
        <v>793.1</v>
      </c>
      <c r="BS47" s="184"/>
      <c r="BT47" s="184"/>
      <c r="BU47" s="184"/>
      <c r="BV47" s="184">
        <v>46063.31</v>
      </c>
      <c r="BW47" s="184"/>
      <c r="BX47" s="184">
        <v>44984.95</v>
      </c>
      <c r="BY47" s="184">
        <v>81326.06</v>
      </c>
      <c r="BZ47" s="184"/>
      <c r="CA47" s="184">
        <v>58.52</v>
      </c>
      <c r="CB47" s="184"/>
      <c r="CC47" s="184">
        <v>5284.77</v>
      </c>
      <c r="CD47" s="195"/>
      <c r="CE47" s="195">
        <v>1678518.4400000002</v>
      </c>
    </row>
    <row r="48" spans="1:83" ht="12.65" customHeight="1" x14ac:dyDescent="0.35">
      <c r="A48" s="175" t="s">
        <v>205</v>
      </c>
      <c r="B48" s="183"/>
      <c r="C48" s="244">
        <v>0</v>
      </c>
      <c r="D48" s="244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5">
      <c r="A49" s="175" t="s">
        <v>206</v>
      </c>
      <c r="B49" s="195"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v>0</v>
      </c>
    </row>
    <row r="52" spans="1:84" ht="12.65" customHeight="1" x14ac:dyDescent="0.35">
      <c r="A52" s="171" t="s">
        <v>208</v>
      </c>
      <c r="B52" s="184">
        <v>1477526.4500000002</v>
      </c>
      <c r="C52" s="195">
        <v>63059</v>
      </c>
      <c r="D52" s="195">
        <v>0</v>
      </c>
      <c r="E52" s="195">
        <v>196386</v>
      </c>
      <c r="F52" s="195">
        <v>0</v>
      </c>
      <c r="G52" s="195">
        <v>0</v>
      </c>
      <c r="H52" s="195">
        <v>81388</v>
      </c>
      <c r="I52" s="195">
        <v>0</v>
      </c>
      <c r="J52" s="195">
        <v>14714</v>
      </c>
      <c r="K52" s="195">
        <v>0</v>
      </c>
      <c r="L52" s="195">
        <v>0</v>
      </c>
      <c r="M52" s="195">
        <v>0</v>
      </c>
      <c r="N52" s="195">
        <v>0</v>
      </c>
      <c r="O52" s="195">
        <v>186338</v>
      </c>
      <c r="P52" s="195">
        <v>51498</v>
      </c>
      <c r="Q52" s="195">
        <v>82081</v>
      </c>
      <c r="R52" s="195">
        <v>3363</v>
      </c>
      <c r="S52" s="195">
        <v>0</v>
      </c>
      <c r="T52" s="195">
        <v>0</v>
      </c>
      <c r="U52" s="195">
        <v>57615</v>
      </c>
      <c r="V52" s="195">
        <v>0</v>
      </c>
      <c r="W52" s="195">
        <v>0</v>
      </c>
      <c r="X52" s="195">
        <v>0</v>
      </c>
      <c r="Y52" s="195">
        <v>85718</v>
      </c>
      <c r="Z52" s="195">
        <v>0</v>
      </c>
      <c r="AA52" s="195">
        <v>0</v>
      </c>
      <c r="AB52" s="195">
        <v>22323</v>
      </c>
      <c r="AC52" s="195">
        <v>17698</v>
      </c>
      <c r="AD52" s="195">
        <v>0</v>
      </c>
      <c r="AE52" s="195">
        <v>0</v>
      </c>
      <c r="AF52" s="195">
        <v>0</v>
      </c>
      <c r="AG52" s="195">
        <v>97236</v>
      </c>
      <c r="AH52" s="195">
        <v>0</v>
      </c>
      <c r="AI52" s="195">
        <v>0</v>
      </c>
      <c r="AJ52" s="195">
        <v>0</v>
      </c>
      <c r="AK52" s="195">
        <v>0</v>
      </c>
      <c r="AL52" s="195">
        <v>0</v>
      </c>
      <c r="AM52" s="195">
        <v>0</v>
      </c>
      <c r="AN52" s="195">
        <v>0</v>
      </c>
      <c r="AO52" s="195">
        <v>0</v>
      </c>
      <c r="AP52" s="195">
        <v>0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0</v>
      </c>
      <c r="AW52" s="195">
        <v>0</v>
      </c>
      <c r="AX52" s="195">
        <v>0</v>
      </c>
      <c r="AY52" s="195">
        <v>34955</v>
      </c>
      <c r="AZ52" s="195">
        <v>0</v>
      </c>
      <c r="BA52" s="195">
        <v>0</v>
      </c>
      <c r="BB52" s="195">
        <v>0</v>
      </c>
      <c r="BC52" s="195">
        <v>0</v>
      </c>
      <c r="BD52" s="195">
        <v>44730</v>
      </c>
      <c r="BE52" s="195">
        <v>65308</v>
      </c>
      <c r="BF52" s="195">
        <v>28334</v>
      </c>
      <c r="BG52" s="195">
        <v>0</v>
      </c>
      <c r="BH52" s="195">
        <v>5885</v>
      </c>
      <c r="BI52" s="195">
        <v>0</v>
      </c>
      <c r="BJ52" s="195">
        <v>0</v>
      </c>
      <c r="BK52" s="195">
        <v>52549</v>
      </c>
      <c r="BL52" s="195">
        <v>0</v>
      </c>
      <c r="BM52" s="195">
        <v>0</v>
      </c>
      <c r="BN52" s="195">
        <v>46096</v>
      </c>
      <c r="BO52" s="195">
        <v>0</v>
      </c>
      <c r="BP52" s="195">
        <v>0</v>
      </c>
      <c r="BQ52" s="195">
        <v>0</v>
      </c>
      <c r="BR52" s="195">
        <v>8576</v>
      </c>
      <c r="BS52" s="195">
        <v>6306</v>
      </c>
      <c r="BT52" s="195">
        <v>7987</v>
      </c>
      <c r="BU52" s="195">
        <v>0</v>
      </c>
      <c r="BV52" s="195">
        <v>28587</v>
      </c>
      <c r="BW52" s="195">
        <v>0</v>
      </c>
      <c r="BX52" s="195">
        <v>6810</v>
      </c>
      <c r="BY52" s="195">
        <v>0</v>
      </c>
      <c r="BZ52" s="195">
        <v>0</v>
      </c>
      <c r="CA52" s="195">
        <v>0</v>
      </c>
      <c r="CB52" s="195">
        <v>0</v>
      </c>
      <c r="CC52" s="195">
        <v>181987</v>
      </c>
      <c r="CD52" s="195"/>
      <c r="CE52" s="195">
        <v>1477527</v>
      </c>
    </row>
    <row r="53" spans="1:84" ht="12.65" customHeight="1" x14ac:dyDescent="0.35">
      <c r="A53" s="175" t="s">
        <v>206</v>
      </c>
      <c r="B53" s="195">
        <v>1477526.4500000002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>
        <v>187</v>
      </c>
      <c r="D59" s="184"/>
      <c r="E59" s="184">
        <v>2938</v>
      </c>
      <c r="F59" s="184"/>
      <c r="G59" s="184"/>
      <c r="H59" s="184">
        <v>3571</v>
      </c>
      <c r="I59" s="184"/>
      <c r="J59" s="184">
        <v>429</v>
      </c>
      <c r="K59" s="184"/>
      <c r="L59" s="184"/>
      <c r="M59" s="184"/>
      <c r="N59" s="184"/>
      <c r="O59" s="184">
        <v>671</v>
      </c>
      <c r="P59" s="185"/>
      <c r="Q59" s="185"/>
      <c r="R59" s="185"/>
      <c r="S59" s="247"/>
      <c r="T59" s="247"/>
      <c r="U59" s="185"/>
      <c r="V59" s="185"/>
      <c r="W59" s="185"/>
      <c r="X59" s="185">
        <v>3597</v>
      </c>
      <c r="Y59" s="185"/>
      <c r="Z59" s="185"/>
      <c r="AA59" s="185"/>
      <c r="AB59" s="247"/>
      <c r="AC59" s="185"/>
      <c r="AD59" s="185"/>
      <c r="AE59" s="185"/>
      <c r="AF59" s="185"/>
      <c r="AG59" s="185">
        <v>18929</v>
      </c>
      <c r="AH59" s="185"/>
      <c r="AI59" s="185"/>
      <c r="AJ59" s="185">
        <v>12378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24026</v>
      </c>
      <c r="AZ59" s="185">
        <v>24026</v>
      </c>
      <c r="BA59" s="247"/>
      <c r="BB59" s="247"/>
      <c r="BC59" s="247"/>
      <c r="BD59" s="247"/>
      <c r="BE59" s="185">
        <v>70293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5">
      <c r="A60" s="249" t="s">
        <v>234</v>
      </c>
      <c r="B60" s="175"/>
      <c r="C60" s="186">
        <v>6.82</v>
      </c>
      <c r="D60" s="187"/>
      <c r="E60" s="187">
        <v>29.96</v>
      </c>
      <c r="F60" s="223"/>
      <c r="G60" s="187"/>
      <c r="H60" s="187">
        <v>13.15</v>
      </c>
      <c r="I60" s="187"/>
      <c r="J60" s="223"/>
      <c r="K60" s="187"/>
      <c r="L60" s="187"/>
      <c r="M60" s="187"/>
      <c r="N60" s="187"/>
      <c r="O60" s="187">
        <v>15.56</v>
      </c>
      <c r="P60" s="221">
        <v>9.67</v>
      </c>
      <c r="Q60" s="221">
        <v>1.5</v>
      </c>
      <c r="R60" s="221"/>
      <c r="S60" s="221"/>
      <c r="T60" s="221"/>
      <c r="U60" s="221">
        <v>10.039999999999999</v>
      </c>
      <c r="V60" s="221">
        <v>0.02</v>
      </c>
      <c r="W60" s="221">
        <v>0.16</v>
      </c>
      <c r="X60" s="221">
        <v>0.69</v>
      </c>
      <c r="Y60" s="221">
        <v>11.18</v>
      </c>
      <c r="Z60" s="221"/>
      <c r="AA60" s="221"/>
      <c r="AB60" s="221">
        <v>3.5</v>
      </c>
      <c r="AC60" s="221">
        <v>5.6</v>
      </c>
      <c r="AD60" s="221"/>
      <c r="AE60" s="221"/>
      <c r="AF60" s="221"/>
      <c r="AG60" s="221">
        <v>22.73</v>
      </c>
      <c r="AH60" s="221"/>
      <c r="AI60" s="221"/>
      <c r="AJ60" s="221">
        <v>6.9</v>
      </c>
      <c r="AK60" s="221"/>
      <c r="AL60" s="221">
        <v>0.01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0.82</v>
      </c>
      <c r="AZ60" s="221">
        <v>3.16</v>
      </c>
      <c r="BA60" s="221"/>
      <c r="BB60" s="221"/>
      <c r="BC60" s="221"/>
      <c r="BD60" s="221">
        <v>2.66</v>
      </c>
      <c r="BE60" s="221">
        <v>3.14</v>
      </c>
      <c r="BF60" s="221">
        <v>6.0519999999999996</v>
      </c>
      <c r="BG60" s="221">
        <v>0.23</v>
      </c>
      <c r="BH60" s="221"/>
      <c r="BI60" s="221"/>
      <c r="BJ60" s="221">
        <v>0.11</v>
      </c>
      <c r="BK60" s="221"/>
      <c r="BL60" s="221">
        <v>12.37</v>
      </c>
      <c r="BM60" s="221"/>
      <c r="BN60" s="221">
        <v>0.92</v>
      </c>
      <c r="BO60" s="221"/>
      <c r="BP60" s="221"/>
      <c r="BQ60" s="221"/>
      <c r="BR60" s="221">
        <v>0.14000000000000001</v>
      </c>
      <c r="BS60" s="221"/>
      <c r="BT60" s="221"/>
      <c r="BU60" s="221"/>
      <c r="BV60" s="221">
        <v>3.06</v>
      </c>
      <c r="BW60" s="221"/>
      <c r="BX60" s="221">
        <v>1.88</v>
      </c>
      <c r="BY60" s="221">
        <v>4.6500000000000004</v>
      </c>
      <c r="BZ60" s="221"/>
      <c r="CA60" s="221">
        <v>0.01</v>
      </c>
      <c r="CB60" s="221"/>
      <c r="CC60" s="221"/>
      <c r="CD60" s="248" t="s">
        <v>221</v>
      </c>
      <c r="CE60" s="250">
        <v>176.69199999999989</v>
      </c>
    </row>
    <row r="61" spans="1:84" ht="12.65" customHeight="1" x14ac:dyDescent="0.35">
      <c r="A61" s="171" t="s">
        <v>235</v>
      </c>
      <c r="B61" s="175"/>
      <c r="C61" s="184">
        <v>487070.1</v>
      </c>
      <c r="D61" s="184"/>
      <c r="E61" s="184">
        <v>1518446.9</v>
      </c>
      <c r="F61" s="185"/>
      <c r="G61" s="184"/>
      <c r="H61" s="184">
        <v>468.13</v>
      </c>
      <c r="I61" s="185"/>
      <c r="J61" s="185"/>
      <c r="K61" s="185"/>
      <c r="L61" s="185"/>
      <c r="M61" s="184"/>
      <c r="N61" s="184"/>
      <c r="O61" s="184">
        <v>1122696.99</v>
      </c>
      <c r="P61" s="185">
        <v>496188.32</v>
      </c>
      <c r="Q61" s="185">
        <v>112891.44</v>
      </c>
      <c r="R61" s="185"/>
      <c r="S61" s="185"/>
      <c r="T61" s="185"/>
      <c r="U61" s="185">
        <v>556976.71</v>
      </c>
      <c r="V61" s="185">
        <v>347.69</v>
      </c>
      <c r="W61" s="185">
        <v>8218.66</v>
      </c>
      <c r="X61" s="185">
        <v>44982.27</v>
      </c>
      <c r="Y61" s="185">
        <v>714220.14</v>
      </c>
      <c r="Z61" s="185"/>
      <c r="AA61" s="185"/>
      <c r="AB61" s="185">
        <v>276627.40999999997</v>
      </c>
      <c r="AC61" s="185">
        <v>355409.52</v>
      </c>
      <c r="AD61" s="185"/>
      <c r="AE61" s="185"/>
      <c r="AF61" s="185"/>
      <c r="AG61" s="185">
        <v>1296313.4099999999</v>
      </c>
      <c r="AH61" s="185"/>
      <c r="AI61" s="185"/>
      <c r="AJ61" s="185">
        <v>1564952.44</v>
      </c>
      <c r="AK61" s="185"/>
      <c r="AL61" s="185">
        <v>935.34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31164.45</v>
      </c>
      <c r="AZ61" s="185">
        <v>106830.91</v>
      </c>
      <c r="BA61" s="185"/>
      <c r="BB61" s="185"/>
      <c r="BC61" s="185"/>
      <c r="BD61" s="185">
        <v>118902.96</v>
      </c>
      <c r="BE61" s="185">
        <v>120043.64</v>
      </c>
      <c r="BF61" s="185">
        <v>186813.01</v>
      </c>
      <c r="BG61" s="185"/>
      <c r="BH61" s="185"/>
      <c r="BI61" s="185"/>
      <c r="BJ61" s="185"/>
      <c r="BK61" s="185"/>
      <c r="BL61" s="185">
        <v>426425.33</v>
      </c>
      <c r="BM61" s="185">
        <v>3691.4</v>
      </c>
      <c r="BN61" s="185">
        <v>76051.399999999994</v>
      </c>
      <c r="BO61" s="185"/>
      <c r="BP61" s="185"/>
      <c r="BQ61" s="185"/>
      <c r="BR61" s="185">
        <v>7415.83</v>
      </c>
      <c r="BS61" s="185"/>
      <c r="BT61" s="185"/>
      <c r="BU61" s="185"/>
      <c r="BV61" s="185">
        <v>142871.10999999999</v>
      </c>
      <c r="BW61" s="185"/>
      <c r="BX61" s="185">
        <v>173735.08</v>
      </c>
      <c r="BY61" s="185">
        <v>365775.21</v>
      </c>
      <c r="BZ61" s="185"/>
      <c r="CA61" s="185">
        <v>731.25</v>
      </c>
      <c r="CB61" s="185"/>
      <c r="CC61" s="185"/>
      <c r="CD61" s="248" t="s">
        <v>221</v>
      </c>
      <c r="CE61" s="195">
        <v>10317197.050000001</v>
      </c>
      <c r="CF61" s="251"/>
    </row>
    <row r="62" spans="1:84" ht="12.65" customHeight="1" x14ac:dyDescent="0.35">
      <c r="A62" s="171" t="s">
        <v>3</v>
      </c>
      <c r="B62" s="175"/>
      <c r="C62" s="195">
        <v>138909</v>
      </c>
      <c r="D62" s="195">
        <v>0</v>
      </c>
      <c r="E62" s="195">
        <v>403363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291425</v>
      </c>
      <c r="P62" s="195">
        <v>140150</v>
      </c>
      <c r="Q62" s="195">
        <v>23899</v>
      </c>
      <c r="R62" s="195">
        <v>0</v>
      </c>
      <c r="S62" s="195">
        <v>75377</v>
      </c>
      <c r="T62" s="195">
        <v>0</v>
      </c>
      <c r="U62" s="195">
        <v>194134</v>
      </c>
      <c r="V62" s="195">
        <v>29</v>
      </c>
      <c r="W62" s="195">
        <v>1145</v>
      </c>
      <c r="X62" s="195">
        <v>30420</v>
      </c>
      <c r="Y62" s="195">
        <v>218456</v>
      </c>
      <c r="Z62" s="195">
        <v>0</v>
      </c>
      <c r="AA62" s="195">
        <v>0</v>
      </c>
      <c r="AB62" s="195">
        <v>80273</v>
      </c>
      <c r="AC62" s="195">
        <v>111932</v>
      </c>
      <c r="AD62" s="195">
        <v>0</v>
      </c>
      <c r="AE62" s="195">
        <v>0</v>
      </c>
      <c r="AF62" s="195">
        <v>0</v>
      </c>
      <c r="AG62" s="195">
        <v>328624</v>
      </c>
      <c r="AH62" s="195">
        <v>0</v>
      </c>
      <c r="AI62" s="195">
        <v>0</v>
      </c>
      <c r="AJ62" s="195">
        <v>410688</v>
      </c>
      <c r="AK62" s="195">
        <v>0</v>
      </c>
      <c r="AL62" s="195">
        <v>82</v>
      </c>
      <c r="AM62" s="195">
        <v>0</v>
      </c>
      <c r="AN62" s="195">
        <v>0</v>
      </c>
      <c r="AO62" s="195">
        <v>0</v>
      </c>
      <c r="AP62" s="195">
        <v>0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0</v>
      </c>
      <c r="AW62" s="195">
        <v>0</v>
      </c>
      <c r="AX62" s="195">
        <v>0</v>
      </c>
      <c r="AY62" s="195">
        <v>11594</v>
      </c>
      <c r="AZ62" s="195">
        <v>30053</v>
      </c>
      <c r="BA62" s="195">
        <v>0</v>
      </c>
      <c r="BB62" s="195">
        <v>0</v>
      </c>
      <c r="BC62" s="195">
        <v>0</v>
      </c>
      <c r="BD62" s="195">
        <v>31676</v>
      </c>
      <c r="BE62" s="195">
        <v>39672</v>
      </c>
      <c r="BF62" s="195">
        <v>82992</v>
      </c>
      <c r="BG62" s="195">
        <v>0</v>
      </c>
      <c r="BH62" s="195">
        <v>0</v>
      </c>
      <c r="BI62" s="195">
        <v>0</v>
      </c>
      <c r="BJ62" s="195">
        <v>0</v>
      </c>
      <c r="BK62" s="195">
        <v>0</v>
      </c>
      <c r="BL62" s="195">
        <v>143745</v>
      </c>
      <c r="BM62" s="195">
        <v>472</v>
      </c>
      <c r="BN62" s="195">
        <v>-1289104</v>
      </c>
      <c r="BO62" s="195">
        <v>0</v>
      </c>
      <c r="BP62" s="195">
        <v>0</v>
      </c>
      <c r="BQ62" s="195">
        <v>0</v>
      </c>
      <c r="BR62" s="195">
        <v>793</v>
      </c>
      <c r="BS62" s="195">
        <v>0</v>
      </c>
      <c r="BT62" s="195">
        <v>0</v>
      </c>
      <c r="BU62" s="195">
        <v>0</v>
      </c>
      <c r="BV62" s="195">
        <v>46063</v>
      </c>
      <c r="BW62" s="195">
        <v>0</v>
      </c>
      <c r="BX62" s="195">
        <v>44985</v>
      </c>
      <c r="BY62" s="195">
        <v>81326</v>
      </c>
      <c r="BZ62" s="195">
        <v>0</v>
      </c>
      <c r="CA62" s="195">
        <v>59</v>
      </c>
      <c r="CB62" s="195">
        <v>0</v>
      </c>
      <c r="CC62" s="195">
        <v>5285</v>
      </c>
      <c r="CD62" s="248" t="s">
        <v>221</v>
      </c>
      <c r="CE62" s="195">
        <v>1678517</v>
      </c>
      <c r="CF62" s="251"/>
    </row>
    <row r="63" spans="1:84" ht="12.65" customHeight="1" x14ac:dyDescent="0.35">
      <c r="A63" s="171" t="s">
        <v>236</v>
      </c>
      <c r="B63" s="175"/>
      <c r="C63" s="184"/>
      <c r="D63" s="184"/>
      <c r="E63" s="184">
        <v>3400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256760.69</v>
      </c>
      <c r="S63" s="185"/>
      <c r="T63" s="185"/>
      <c r="U63" s="185">
        <v>3878.47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v>656306.79</v>
      </c>
      <c r="AH63" s="185"/>
      <c r="AI63" s="185"/>
      <c r="AJ63" s="185">
        <v>6422.96</v>
      </c>
      <c r="AK63" s="185"/>
      <c r="AL63" s="185">
        <v>4609.37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>
        <v>2080.12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1188699.76</v>
      </c>
      <c r="CD63" s="248" t="s">
        <v>221</v>
      </c>
      <c r="CE63" s="195">
        <v>2122158.16</v>
      </c>
      <c r="CF63" s="251"/>
    </row>
    <row r="64" spans="1:84" ht="12.65" customHeight="1" x14ac:dyDescent="0.35">
      <c r="A64" s="171" t="s">
        <v>237</v>
      </c>
      <c r="B64" s="175"/>
      <c r="C64" s="184">
        <v>74994.460000000006</v>
      </c>
      <c r="D64" s="184"/>
      <c r="E64" s="185">
        <v>19296.939999999999</v>
      </c>
      <c r="F64" s="185"/>
      <c r="G64" s="184"/>
      <c r="H64" s="184">
        <v>7852.83</v>
      </c>
      <c r="I64" s="185"/>
      <c r="J64" s="185">
        <v>-40.28</v>
      </c>
      <c r="K64" s="185"/>
      <c r="L64" s="185"/>
      <c r="M64" s="184"/>
      <c r="N64" s="184"/>
      <c r="O64" s="184">
        <v>106336.94</v>
      </c>
      <c r="P64" s="185">
        <v>326614.64</v>
      </c>
      <c r="Q64" s="185">
        <v>21543.91</v>
      </c>
      <c r="R64" s="185">
        <v>12682.34</v>
      </c>
      <c r="S64" s="185">
        <v>-6361.59</v>
      </c>
      <c r="T64" s="185">
        <v>-1334.92</v>
      </c>
      <c r="U64" s="185">
        <v>402243.82</v>
      </c>
      <c r="V64" s="185"/>
      <c r="W64" s="185">
        <v>231.58</v>
      </c>
      <c r="X64" s="185">
        <v>24299.64</v>
      </c>
      <c r="Y64" s="185">
        <v>9298.8000000000011</v>
      </c>
      <c r="Z64" s="185"/>
      <c r="AA64" s="185"/>
      <c r="AB64" s="185">
        <v>8068.29</v>
      </c>
      <c r="AC64" s="185">
        <v>42638.03</v>
      </c>
      <c r="AD64" s="185"/>
      <c r="AE64" s="185"/>
      <c r="AF64" s="185"/>
      <c r="AG64" s="185">
        <v>165854</v>
      </c>
      <c r="AH64" s="185"/>
      <c r="AI64" s="185"/>
      <c r="AJ64" s="185">
        <v>69838.19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-704.3</v>
      </c>
      <c r="AZ64" s="185">
        <v>219955.8</v>
      </c>
      <c r="BA64" s="185">
        <v>-2200</v>
      </c>
      <c r="BB64" s="185"/>
      <c r="BC64" s="185"/>
      <c r="BD64" s="185">
        <v>194543.33</v>
      </c>
      <c r="BE64" s="185">
        <v>5002.43</v>
      </c>
      <c r="BF64" s="185">
        <v>25054.3</v>
      </c>
      <c r="BG64" s="185"/>
      <c r="BH64" s="185">
        <v>393.21</v>
      </c>
      <c r="BI64" s="185"/>
      <c r="BJ64" s="185"/>
      <c r="BK64" s="185">
        <v>29.99</v>
      </c>
      <c r="BL64" s="185">
        <v>8402.6299999999992</v>
      </c>
      <c r="BM64" s="185"/>
      <c r="BN64" s="185">
        <v>97442.61</v>
      </c>
      <c r="BO64" s="185">
        <v>1904.09</v>
      </c>
      <c r="BP64" s="185">
        <v>1091.1500000000001</v>
      </c>
      <c r="BQ64" s="185"/>
      <c r="BR64" s="185">
        <v>571.33000000000004</v>
      </c>
      <c r="BS64" s="185"/>
      <c r="BT64" s="185"/>
      <c r="BU64" s="185"/>
      <c r="BV64" s="185">
        <v>328.3</v>
      </c>
      <c r="BW64" s="185"/>
      <c r="BX64" s="185">
        <v>281.31</v>
      </c>
      <c r="BY64" s="185">
        <v>122.98</v>
      </c>
      <c r="BZ64" s="185"/>
      <c r="CA64" s="185">
        <v>406.6</v>
      </c>
      <c r="CB64" s="185"/>
      <c r="CC64" s="185">
        <v>671.01</v>
      </c>
      <c r="CD64" s="248" t="s">
        <v>221</v>
      </c>
      <c r="CE64" s="195">
        <v>1837354.3900000004</v>
      </c>
      <c r="CF64" s="251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26917.18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366708.73</v>
      </c>
      <c r="BF65" s="185">
        <v>1482.79</v>
      </c>
      <c r="BG65" s="185">
        <v>-4898.74</v>
      </c>
      <c r="BH65" s="185">
        <v>444.75</v>
      </c>
      <c r="BI65" s="185"/>
      <c r="BJ65" s="185"/>
      <c r="BK65" s="185"/>
      <c r="BL65" s="185">
        <v>1092.18</v>
      </c>
      <c r="BM65" s="185"/>
      <c r="BN65" s="185">
        <v>33027.9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v>424774.79</v>
      </c>
      <c r="CF65" s="251"/>
    </row>
    <row r="66" spans="1:84" ht="12.65" customHeight="1" x14ac:dyDescent="0.35">
      <c r="A66" s="171" t="s">
        <v>239</v>
      </c>
      <c r="B66" s="175"/>
      <c r="C66" s="184">
        <v>62670.73</v>
      </c>
      <c r="D66" s="184"/>
      <c r="E66" s="184">
        <v>175020.28</v>
      </c>
      <c r="F66" s="184"/>
      <c r="G66" s="184"/>
      <c r="H66" s="184">
        <v>1447232.8900000001</v>
      </c>
      <c r="I66" s="184"/>
      <c r="J66" s="184"/>
      <c r="K66" s="185"/>
      <c r="L66" s="185"/>
      <c r="M66" s="184"/>
      <c r="N66" s="184"/>
      <c r="O66" s="185">
        <v>124615.98</v>
      </c>
      <c r="P66" s="185">
        <v>168229.05000000002</v>
      </c>
      <c r="Q66" s="185">
        <v>2196.81</v>
      </c>
      <c r="R66" s="185"/>
      <c r="S66" s="184">
        <v>712.14</v>
      </c>
      <c r="T66" s="184"/>
      <c r="U66" s="185">
        <v>149077.53</v>
      </c>
      <c r="V66" s="185"/>
      <c r="W66" s="185">
        <v>125654.3</v>
      </c>
      <c r="X66" s="185"/>
      <c r="Y66" s="185">
        <v>43329.15</v>
      </c>
      <c r="Z66" s="185"/>
      <c r="AA66" s="185"/>
      <c r="AB66" s="185">
        <v>85803.6</v>
      </c>
      <c r="AC66" s="185">
        <v>1137.42</v>
      </c>
      <c r="AD66" s="185"/>
      <c r="AE66" s="185">
        <v>-2565.62</v>
      </c>
      <c r="AF66" s="185"/>
      <c r="AG66" s="185">
        <v>803388.52999999991</v>
      </c>
      <c r="AH66" s="185"/>
      <c r="AI66" s="185"/>
      <c r="AJ66" s="185">
        <v>81947.799999999988</v>
      </c>
      <c r="AK66" s="185"/>
      <c r="AL66" s="185">
        <v>6936.5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>
        <v>723.46</v>
      </c>
      <c r="BA66" s="185">
        <v>58416.67</v>
      </c>
      <c r="BB66" s="185"/>
      <c r="BC66" s="185"/>
      <c r="BD66" s="185">
        <v>4884.99</v>
      </c>
      <c r="BE66" s="185">
        <v>215761.68</v>
      </c>
      <c r="BF66" s="185">
        <v>98810.71</v>
      </c>
      <c r="BG66" s="185">
        <v>-8227.42</v>
      </c>
      <c r="BH66" s="185">
        <v>1654.77</v>
      </c>
      <c r="BI66" s="185"/>
      <c r="BJ66" s="185"/>
      <c r="BK66" s="185">
        <v>-95825.83</v>
      </c>
      <c r="BL66" s="185">
        <v>6156.1</v>
      </c>
      <c r="BM66" s="185">
        <v>36.270000000000003</v>
      </c>
      <c r="BN66" s="185">
        <v>2343990.2599999998</v>
      </c>
      <c r="BO66" s="185">
        <v>-1067.5</v>
      </c>
      <c r="BP66" s="185">
        <v>1877.5</v>
      </c>
      <c r="BQ66" s="185"/>
      <c r="BR66" s="185">
        <v>5040.28</v>
      </c>
      <c r="BS66" s="185">
        <v>177.4</v>
      </c>
      <c r="BT66" s="185"/>
      <c r="BU66" s="185"/>
      <c r="BV66" s="185">
        <v>17548.23</v>
      </c>
      <c r="BW66" s="185"/>
      <c r="BX66" s="185">
        <v>6928.1899999999987</v>
      </c>
      <c r="BY66" s="185">
        <v>5755.23</v>
      </c>
      <c r="BZ66" s="185"/>
      <c r="CA66" s="185">
        <v>534.03</v>
      </c>
      <c r="CB66" s="185"/>
      <c r="CC66" s="185">
        <v>251.57</v>
      </c>
      <c r="CD66" s="248" t="s">
        <v>221</v>
      </c>
      <c r="CE66" s="195">
        <v>5938813.6800000025</v>
      </c>
      <c r="CF66" s="251"/>
    </row>
    <row r="67" spans="1:84" ht="12.65" customHeight="1" x14ac:dyDescent="0.35">
      <c r="A67" s="171" t="s">
        <v>6</v>
      </c>
      <c r="B67" s="175"/>
      <c r="C67" s="195">
        <v>63059</v>
      </c>
      <c r="D67" s="195">
        <v>0</v>
      </c>
      <c r="E67" s="195">
        <v>196386</v>
      </c>
      <c r="F67" s="195">
        <v>0</v>
      </c>
      <c r="G67" s="195">
        <v>0</v>
      </c>
      <c r="H67" s="195">
        <v>81388</v>
      </c>
      <c r="I67" s="195">
        <v>0</v>
      </c>
      <c r="J67" s="195">
        <v>14714</v>
      </c>
      <c r="K67" s="195">
        <v>0</v>
      </c>
      <c r="L67" s="195">
        <v>0</v>
      </c>
      <c r="M67" s="195">
        <v>0</v>
      </c>
      <c r="N67" s="195">
        <v>0</v>
      </c>
      <c r="O67" s="195">
        <v>186338</v>
      </c>
      <c r="P67" s="195">
        <v>51498</v>
      </c>
      <c r="Q67" s="195">
        <v>82081</v>
      </c>
      <c r="R67" s="195">
        <v>3363</v>
      </c>
      <c r="S67" s="195">
        <v>0</v>
      </c>
      <c r="T67" s="195">
        <v>0</v>
      </c>
      <c r="U67" s="195">
        <v>57615</v>
      </c>
      <c r="V67" s="195">
        <v>0</v>
      </c>
      <c r="W67" s="195">
        <v>0</v>
      </c>
      <c r="X67" s="195">
        <v>0</v>
      </c>
      <c r="Y67" s="195">
        <v>85718</v>
      </c>
      <c r="Z67" s="195">
        <v>0</v>
      </c>
      <c r="AA67" s="195">
        <v>0</v>
      </c>
      <c r="AB67" s="195">
        <v>22323</v>
      </c>
      <c r="AC67" s="195">
        <v>17698</v>
      </c>
      <c r="AD67" s="195">
        <v>0</v>
      </c>
      <c r="AE67" s="195">
        <v>0</v>
      </c>
      <c r="AF67" s="195">
        <v>0</v>
      </c>
      <c r="AG67" s="195">
        <v>97236</v>
      </c>
      <c r="AH67" s="195">
        <v>0</v>
      </c>
      <c r="AI67" s="195">
        <v>0</v>
      </c>
      <c r="AJ67" s="195">
        <v>0</v>
      </c>
      <c r="AK67" s="195">
        <v>0</v>
      </c>
      <c r="AL67" s="195">
        <v>0</v>
      </c>
      <c r="AM67" s="195">
        <v>0</v>
      </c>
      <c r="AN67" s="195">
        <v>0</v>
      </c>
      <c r="AO67" s="195">
        <v>0</v>
      </c>
      <c r="AP67" s="195">
        <v>0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0</v>
      </c>
      <c r="AW67" s="195">
        <v>0</v>
      </c>
      <c r="AX67" s="195">
        <v>0</v>
      </c>
      <c r="AY67" s="195">
        <v>34955</v>
      </c>
      <c r="AZ67" s="195">
        <v>0</v>
      </c>
      <c r="BA67" s="195">
        <v>0</v>
      </c>
      <c r="BB67" s="195">
        <v>0</v>
      </c>
      <c r="BC67" s="195">
        <v>0</v>
      </c>
      <c r="BD67" s="195">
        <v>44730</v>
      </c>
      <c r="BE67" s="195">
        <v>65308</v>
      </c>
      <c r="BF67" s="195">
        <v>28334</v>
      </c>
      <c r="BG67" s="195">
        <v>0</v>
      </c>
      <c r="BH67" s="195">
        <v>5885</v>
      </c>
      <c r="BI67" s="195">
        <v>0</v>
      </c>
      <c r="BJ67" s="195">
        <v>0</v>
      </c>
      <c r="BK67" s="195">
        <v>52549</v>
      </c>
      <c r="BL67" s="195">
        <v>0</v>
      </c>
      <c r="BM67" s="195">
        <v>0</v>
      </c>
      <c r="BN67" s="195">
        <v>46096</v>
      </c>
      <c r="BO67" s="195">
        <v>0</v>
      </c>
      <c r="BP67" s="195">
        <v>0</v>
      </c>
      <c r="BQ67" s="195">
        <v>0</v>
      </c>
      <c r="BR67" s="195">
        <v>8576</v>
      </c>
      <c r="BS67" s="195">
        <v>6306</v>
      </c>
      <c r="BT67" s="195">
        <v>7987</v>
      </c>
      <c r="BU67" s="195">
        <v>0</v>
      </c>
      <c r="BV67" s="195">
        <v>28587</v>
      </c>
      <c r="BW67" s="195">
        <v>0</v>
      </c>
      <c r="BX67" s="195">
        <v>6810</v>
      </c>
      <c r="BY67" s="195">
        <v>0</v>
      </c>
      <c r="BZ67" s="195">
        <v>0</v>
      </c>
      <c r="CA67" s="195">
        <v>0</v>
      </c>
      <c r="CB67" s="195">
        <v>0</v>
      </c>
      <c r="CC67" s="195">
        <v>181987</v>
      </c>
      <c r="CD67" s="248" t="s">
        <v>221</v>
      </c>
      <c r="CE67" s="195">
        <v>1477527</v>
      </c>
      <c r="CF67" s="251"/>
    </row>
    <row r="68" spans="1:84" ht="12.65" customHeight="1" x14ac:dyDescent="0.35">
      <c r="A68" s="171" t="s">
        <v>240</v>
      </c>
      <c r="B68" s="175"/>
      <c r="C68" s="184">
        <v>1978.34</v>
      </c>
      <c r="D68" s="184"/>
      <c r="E68" s="184">
        <v>1978.34</v>
      </c>
      <c r="F68" s="184"/>
      <c r="G68" s="184"/>
      <c r="H68" s="184"/>
      <c r="I68" s="184"/>
      <c r="J68" s="184">
        <v>92.65</v>
      </c>
      <c r="K68" s="185"/>
      <c r="L68" s="185"/>
      <c r="M68" s="184"/>
      <c r="N68" s="184"/>
      <c r="O68" s="184">
        <v>2124.06</v>
      </c>
      <c r="P68" s="185">
        <v>2526.7800000000002</v>
      </c>
      <c r="Q68" s="185"/>
      <c r="R68" s="185">
        <v>392.69</v>
      </c>
      <c r="S68" s="185">
        <v>2453.64</v>
      </c>
      <c r="T68" s="185"/>
      <c r="U68" s="185">
        <v>8767.42</v>
      </c>
      <c r="V68" s="185"/>
      <c r="W68" s="185"/>
      <c r="X68" s="185"/>
      <c r="Y68" s="185"/>
      <c r="Z68" s="185"/>
      <c r="AA68" s="185"/>
      <c r="AB68" s="185"/>
      <c r="AC68" s="185">
        <v>141.75</v>
      </c>
      <c r="AD68" s="185"/>
      <c r="AE68" s="185"/>
      <c r="AF68" s="185"/>
      <c r="AG68" s="185">
        <v>2415.4899999999998</v>
      </c>
      <c r="AH68" s="185"/>
      <c r="AI68" s="185"/>
      <c r="AJ68" s="185">
        <v>195687.24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>
        <v>-3658.48</v>
      </c>
      <c r="AY68" s="185"/>
      <c r="AZ68" s="185"/>
      <c r="BA68" s="185"/>
      <c r="BB68" s="185"/>
      <c r="BC68" s="185"/>
      <c r="BD68" s="185">
        <v>4900.75</v>
      </c>
      <c r="BE68" s="185">
        <v>1097.52</v>
      </c>
      <c r="BF68" s="185"/>
      <c r="BG68" s="185"/>
      <c r="BH68" s="185">
        <v>712.29</v>
      </c>
      <c r="BI68" s="185"/>
      <c r="BJ68" s="185"/>
      <c r="BK68" s="185"/>
      <c r="BL68" s="185"/>
      <c r="BM68" s="185"/>
      <c r="BN68" s="185">
        <v>5708.11</v>
      </c>
      <c r="BO68" s="185"/>
      <c r="BP68" s="185"/>
      <c r="BQ68" s="185"/>
      <c r="BR68" s="185"/>
      <c r="BS68" s="185"/>
      <c r="BT68" s="185"/>
      <c r="BU68" s="185"/>
      <c r="BV68" s="185">
        <v>9054.34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v>236372.92999999996</v>
      </c>
      <c r="CF68" s="251"/>
    </row>
    <row r="69" spans="1:84" ht="12.65" customHeight="1" x14ac:dyDescent="0.35">
      <c r="A69" s="171" t="s">
        <v>241</v>
      </c>
      <c r="B69" s="175"/>
      <c r="C69" s="248">
        <v>2680.61</v>
      </c>
      <c r="D69" s="248"/>
      <c r="E69" s="248">
        <v>-233.4</v>
      </c>
      <c r="F69" s="248"/>
      <c r="G69" s="248"/>
      <c r="H69" s="248">
        <v>6000</v>
      </c>
      <c r="I69" s="248"/>
      <c r="J69" s="248"/>
      <c r="K69" s="248"/>
      <c r="L69" s="248"/>
      <c r="M69" s="248"/>
      <c r="N69" s="248"/>
      <c r="O69" s="248">
        <v>15432.349999999999</v>
      </c>
      <c r="P69" s="248">
        <v>34534.800000000003</v>
      </c>
      <c r="Q69" s="248">
        <v>790</v>
      </c>
      <c r="R69" s="248">
        <v>5758.28</v>
      </c>
      <c r="S69" s="248">
        <v>4255.67</v>
      </c>
      <c r="T69" s="248"/>
      <c r="U69" s="248">
        <v>38794.94</v>
      </c>
      <c r="V69" s="248">
        <v>134.32</v>
      </c>
      <c r="W69" s="248"/>
      <c r="X69" s="248">
        <v>1890</v>
      </c>
      <c r="Y69" s="248">
        <v>28711.649999999998</v>
      </c>
      <c r="Z69" s="248"/>
      <c r="AA69" s="248"/>
      <c r="AB69" s="248">
        <v>6615.05</v>
      </c>
      <c r="AC69" s="248">
        <v>1083.3</v>
      </c>
      <c r="AD69" s="248"/>
      <c r="AE69" s="248"/>
      <c r="AF69" s="248"/>
      <c r="AG69" s="248">
        <v>6636.11</v>
      </c>
      <c r="AH69" s="248"/>
      <c r="AI69" s="248"/>
      <c r="AJ69" s="248">
        <v>20605.919999999998</v>
      </c>
      <c r="AK69" s="248"/>
      <c r="AL69" s="248">
        <v>716.49</v>
      </c>
      <c r="AM69" s="248"/>
      <c r="AN69" s="248"/>
      <c r="AO69" s="248"/>
      <c r="AP69" s="248"/>
      <c r="AQ69" s="248"/>
      <c r="AR69" s="248"/>
      <c r="AS69" s="248"/>
      <c r="AT69" s="248"/>
      <c r="AU69" s="248"/>
      <c r="AV69" s="248">
        <v>4764.26</v>
      </c>
      <c r="AW69" s="248"/>
      <c r="AX69" s="248"/>
      <c r="AY69" s="248">
        <v>12.47</v>
      </c>
      <c r="AZ69" s="248">
        <v>54</v>
      </c>
      <c r="BA69" s="248"/>
      <c r="BB69" s="248"/>
      <c r="BC69" s="248"/>
      <c r="BD69" s="248">
        <v>35521.78</v>
      </c>
      <c r="BE69" s="248">
        <v>42228.32</v>
      </c>
      <c r="BF69" s="248">
        <v>-29.77</v>
      </c>
      <c r="BG69" s="248"/>
      <c r="BH69" s="248">
        <v>-1390.35</v>
      </c>
      <c r="BI69" s="248"/>
      <c r="BJ69" s="248"/>
      <c r="BK69" s="248"/>
      <c r="BL69" s="248"/>
      <c r="BM69" s="248"/>
      <c r="BN69" s="248">
        <v>980826.39</v>
      </c>
      <c r="BO69" s="248"/>
      <c r="BP69" s="248">
        <v>0.55000000000000004</v>
      </c>
      <c r="BQ69" s="248"/>
      <c r="BR69" s="248"/>
      <c r="BS69" s="248"/>
      <c r="BT69" s="248"/>
      <c r="BU69" s="248"/>
      <c r="BV69" s="248">
        <v>52739.01</v>
      </c>
      <c r="BW69" s="248"/>
      <c r="BX69" s="248"/>
      <c r="BY69" s="248">
        <v>2840.49</v>
      </c>
      <c r="BZ69" s="248"/>
      <c r="CA69" s="248">
        <v>38184.74</v>
      </c>
      <c r="CB69" s="248"/>
      <c r="CC69" s="248">
        <v>229359.56</v>
      </c>
      <c r="CD69" s="188"/>
      <c r="CE69" s="195">
        <v>1559517.54</v>
      </c>
      <c r="CF69" s="251"/>
    </row>
    <row r="70" spans="1:84" ht="12.65" customHeight="1" x14ac:dyDescent="0.35">
      <c r="A70" s="171" t="s">
        <v>242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v>0</v>
      </c>
      <c r="CF70" s="251"/>
    </row>
    <row r="71" spans="1:84" ht="12.65" customHeight="1" x14ac:dyDescent="0.35">
      <c r="A71" s="171" t="s">
        <v>243</v>
      </c>
      <c r="B71" s="175"/>
      <c r="C71" s="185">
        <v>831362.23999999987</v>
      </c>
      <c r="D71" s="185">
        <v>0</v>
      </c>
      <c r="E71" s="185">
        <v>2317658.0599999996</v>
      </c>
      <c r="F71" s="185">
        <v>0</v>
      </c>
      <c r="G71" s="185">
        <v>0</v>
      </c>
      <c r="H71" s="185">
        <v>1542941.85</v>
      </c>
      <c r="I71" s="185">
        <v>0</v>
      </c>
      <c r="J71" s="185">
        <v>14766.369999999999</v>
      </c>
      <c r="K71" s="185">
        <v>0</v>
      </c>
      <c r="L71" s="185">
        <v>0</v>
      </c>
      <c r="M71" s="185">
        <v>0</v>
      </c>
      <c r="N71" s="185">
        <v>0</v>
      </c>
      <c r="O71" s="185">
        <v>1848969.32</v>
      </c>
      <c r="P71" s="185">
        <v>1219741.5900000001</v>
      </c>
      <c r="Q71" s="185">
        <v>243402.16</v>
      </c>
      <c r="R71" s="185">
        <v>278957.00000000006</v>
      </c>
      <c r="S71" s="185">
        <v>76436.86</v>
      </c>
      <c r="T71" s="185">
        <v>-1334.92</v>
      </c>
      <c r="U71" s="185">
        <v>1411487.89</v>
      </c>
      <c r="V71" s="185">
        <v>511.01</v>
      </c>
      <c r="W71" s="185">
        <v>135249.54</v>
      </c>
      <c r="X71" s="185">
        <v>101591.90999999999</v>
      </c>
      <c r="Y71" s="185">
        <v>1099733.74</v>
      </c>
      <c r="Z71" s="185">
        <v>0</v>
      </c>
      <c r="AA71" s="185">
        <v>0</v>
      </c>
      <c r="AB71" s="185">
        <v>479710.34999999992</v>
      </c>
      <c r="AC71" s="185">
        <v>530040.02</v>
      </c>
      <c r="AD71" s="185">
        <v>0</v>
      </c>
      <c r="AE71" s="185">
        <v>-2565.62</v>
      </c>
      <c r="AF71" s="185">
        <v>0</v>
      </c>
      <c r="AG71" s="185">
        <v>3356774.33</v>
      </c>
      <c r="AH71" s="185">
        <v>0</v>
      </c>
      <c r="AI71" s="185">
        <v>0</v>
      </c>
      <c r="AJ71" s="185">
        <v>2377059.7299999995</v>
      </c>
      <c r="AK71" s="185">
        <v>0</v>
      </c>
      <c r="AL71" s="185">
        <v>13279.699999999999</v>
      </c>
      <c r="AM71" s="185">
        <v>0</v>
      </c>
      <c r="AN71" s="185">
        <v>0</v>
      </c>
      <c r="AO71" s="185">
        <v>0</v>
      </c>
      <c r="AP71" s="185">
        <v>0</v>
      </c>
      <c r="AQ71" s="185">
        <v>0</v>
      </c>
      <c r="AR71" s="185">
        <v>0</v>
      </c>
      <c r="AS71" s="185">
        <v>0</v>
      </c>
      <c r="AT71" s="185">
        <v>0</v>
      </c>
      <c r="AU71" s="185">
        <v>0</v>
      </c>
      <c r="AV71" s="185">
        <v>4764.26</v>
      </c>
      <c r="AW71" s="185">
        <v>0</v>
      </c>
      <c r="AX71" s="185">
        <v>-3658.48</v>
      </c>
      <c r="AY71" s="185">
        <v>77021.62</v>
      </c>
      <c r="AZ71" s="185">
        <v>357617.17</v>
      </c>
      <c r="BA71" s="185">
        <v>56216.67</v>
      </c>
      <c r="BB71" s="185">
        <v>0</v>
      </c>
      <c r="BC71" s="185">
        <v>0</v>
      </c>
      <c r="BD71" s="185">
        <v>435159.81000000006</v>
      </c>
      <c r="BE71" s="185">
        <v>855822.32</v>
      </c>
      <c r="BF71" s="185">
        <v>423457.04</v>
      </c>
      <c r="BG71" s="185">
        <v>-13126.16</v>
      </c>
      <c r="BH71" s="185">
        <v>7699.67</v>
      </c>
      <c r="BI71" s="185">
        <v>0</v>
      </c>
      <c r="BJ71" s="185">
        <v>0</v>
      </c>
      <c r="BK71" s="185">
        <v>-43246.84</v>
      </c>
      <c r="BL71" s="185">
        <v>585821.24000000011</v>
      </c>
      <c r="BM71" s="185">
        <v>4199.67</v>
      </c>
      <c r="BN71" s="185">
        <v>2294038.67</v>
      </c>
      <c r="BO71" s="185">
        <v>2916.71</v>
      </c>
      <c r="BP71" s="185">
        <v>2969.2000000000003</v>
      </c>
      <c r="BQ71" s="185">
        <v>0</v>
      </c>
      <c r="BR71" s="185">
        <v>22396.44</v>
      </c>
      <c r="BS71" s="185">
        <v>6483.4</v>
      </c>
      <c r="BT71" s="185">
        <v>7987</v>
      </c>
      <c r="BU71" s="185">
        <v>0</v>
      </c>
      <c r="BV71" s="185">
        <v>297190.99</v>
      </c>
      <c r="BW71" s="185">
        <v>0</v>
      </c>
      <c r="BX71" s="185">
        <v>232739.58</v>
      </c>
      <c r="BY71" s="185">
        <v>455819.91</v>
      </c>
      <c r="BZ71" s="185">
        <v>0</v>
      </c>
      <c r="CA71" s="185">
        <v>39915.619999999995</v>
      </c>
      <c r="CB71" s="185">
        <v>0</v>
      </c>
      <c r="CC71" s="185">
        <v>1606253.9000000001</v>
      </c>
      <c r="CD71" s="188">
        <v>0</v>
      </c>
      <c r="CE71" s="195">
        <v>25592232.540000003</v>
      </c>
      <c r="CF71" s="251"/>
    </row>
    <row r="72" spans="1:84" ht="12.65" customHeight="1" x14ac:dyDescent="0.35">
      <c r="A72" s="171" t="s">
        <v>244</v>
      </c>
      <c r="B72" s="175"/>
      <c r="C72" s="195" t="s">
        <v>221</v>
      </c>
      <c r="D72" s="195" t="s">
        <v>221</v>
      </c>
      <c r="E72" s="195" t="s">
        <v>221</v>
      </c>
      <c r="F72" s="195" t="s">
        <v>221</v>
      </c>
      <c r="G72" s="195" t="s">
        <v>221</v>
      </c>
      <c r="H72" s="195" t="s">
        <v>221</v>
      </c>
      <c r="I72" s="195" t="s">
        <v>221</v>
      </c>
      <c r="J72" s="195" t="s">
        <v>221</v>
      </c>
      <c r="K72" s="195" t="s">
        <v>221</v>
      </c>
      <c r="L72" s="195" t="s">
        <v>221</v>
      </c>
      <c r="M72" s="195" t="s">
        <v>221</v>
      </c>
      <c r="N72" s="195" t="s">
        <v>221</v>
      </c>
      <c r="O72" s="195" t="s">
        <v>221</v>
      </c>
      <c r="P72" s="195" t="s">
        <v>221</v>
      </c>
      <c r="Q72" s="195" t="s">
        <v>221</v>
      </c>
      <c r="R72" s="195" t="s">
        <v>221</v>
      </c>
      <c r="S72" s="195" t="s">
        <v>221</v>
      </c>
      <c r="T72" s="195" t="s">
        <v>221</v>
      </c>
      <c r="U72" s="195" t="s">
        <v>221</v>
      </c>
      <c r="V72" s="195" t="s">
        <v>221</v>
      </c>
      <c r="W72" s="195" t="s">
        <v>221</v>
      </c>
      <c r="X72" s="195" t="s">
        <v>221</v>
      </c>
      <c r="Y72" s="195" t="s">
        <v>221</v>
      </c>
      <c r="Z72" s="195" t="s">
        <v>221</v>
      </c>
      <c r="AA72" s="195" t="s">
        <v>221</v>
      </c>
      <c r="AB72" s="195" t="s">
        <v>221</v>
      </c>
      <c r="AC72" s="195" t="s">
        <v>221</v>
      </c>
      <c r="AD72" s="195" t="s">
        <v>221</v>
      </c>
      <c r="AE72" s="195" t="s">
        <v>221</v>
      </c>
      <c r="AF72" s="195" t="s">
        <v>221</v>
      </c>
      <c r="AG72" s="195" t="s">
        <v>221</v>
      </c>
      <c r="AH72" s="195" t="s">
        <v>221</v>
      </c>
      <c r="AI72" s="195" t="s">
        <v>221</v>
      </c>
      <c r="AJ72" s="195" t="s">
        <v>221</v>
      </c>
      <c r="AK72" s="195" t="s">
        <v>221</v>
      </c>
      <c r="AL72" s="195" t="s">
        <v>221</v>
      </c>
      <c r="AM72" s="195" t="s">
        <v>221</v>
      </c>
      <c r="AN72" s="195" t="s">
        <v>221</v>
      </c>
      <c r="AO72" s="195" t="s">
        <v>221</v>
      </c>
      <c r="AP72" s="195" t="s">
        <v>221</v>
      </c>
      <c r="AQ72" s="195" t="s">
        <v>221</v>
      </c>
      <c r="AR72" s="195" t="s">
        <v>221</v>
      </c>
      <c r="AS72" s="195" t="s">
        <v>221</v>
      </c>
      <c r="AT72" s="195" t="s">
        <v>221</v>
      </c>
      <c r="AU72" s="195" t="s">
        <v>221</v>
      </c>
      <c r="AV72" s="195" t="s">
        <v>221</v>
      </c>
      <c r="AW72" s="195" t="s">
        <v>221</v>
      </c>
      <c r="AX72" s="195" t="s">
        <v>221</v>
      </c>
      <c r="AY72" s="195" t="s">
        <v>221</v>
      </c>
      <c r="AZ72" s="195" t="s">
        <v>221</v>
      </c>
      <c r="BA72" s="195" t="s">
        <v>221</v>
      </c>
      <c r="BB72" s="195" t="s">
        <v>221</v>
      </c>
      <c r="BC72" s="195" t="s">
        <v>221</v>
      </c>
      <c r="BD72" s="195" t="s">
        <v>221</v>
      </c>
      <c r="BE72" s="195" t="s">
        <v>221</v>
      </c>
      <c r="BF72" s="195" t="s">
        <v>221</v>
      </c>
      <c r="BG72" s="195" t="s">
        <v>221</v>
      </c>
      <c r="BH72" s="195" t="s">
        <v>221</v>
      </c>
      <c r="BI72" s="195" t="s">
        <v>221</v>
      </c>
      <c r="BJ72" s="195" t="s">
        <v>221</v>
      </c>
      <c r="BK72" s="195" t="s">
        <v>221</v>
      </c>
      <c r="BL72" s="195" t="s">
        <v>221</v>
      </c>
      <c r="BM72" s="195" t="s">
        <v>221</v>
      </c>
      <c r="BN72" s="195" t="s">
        <v>221</v>
      </c>
      <c r="BO72" s="195" t="s">
        <v>221</v>
      </c>
      <c r="BP72" s="195" t="s">
        <v>221</v>
      </c>
      <c r="BQ72" s="195" t="s">
        <v>221</v>
      </c>
      <c r="BR72" s="195" t="s">
        <v>221</v>
      </c>
      <c r="BS72" s="195" t="s">
        <v>221</v>
      </c>
      <c r="BT72" s="195" t="s">
        <v>221</v>
      </c>
      <c r="BU72" s="195" t="s">
        <v>221</v>
      </c>
      <c r="BV72" s="195" t="s">
        <v>221</v>
      </c>
      <c r="BW72" s="195" t="s">
        <v>221</v>
      </c>
      <c r="BX72" s="195" t="s">
        <v>221</v>
      </c>
      <c r="BY72" s="195" t="s">
        <v>221</v>
      </c>
      <c r="BZ72" s="195" t="s">
        <v>221</v>
      </c>
      <c r="CA72" s="195" t="s">
        <v>221</v>
      </c>
      <c r="CB72" s="195" t="s">
        <v>221</v>
      </c>
      <c r="CC72" s="195" t="s">
        <v>221</v>
      </c>
      <c r="CD72" s="244" t="s">
        <v>221</v>
      </c>
      <c r="CE72" s="195"/>
      <c r="CF72" s="251"/>
    </row>
    <row r="73" spans="1:84" ht="12.65" customHeight="1" x14ac:dyDescent="0.35">
      <c r="A73" s="171" t="s">
        <v>245</v>
      </c>
      <c r="B73" s="175"/>
      <c r="C73" s="248">
        <v>648815.31000000006</v>
      </c>
      <c r="D73" s="248"/>
      <c r="E73" s="248">
        <v>9754389.0700000003</v>
      </c>
      <c r="F73" s="248"/>
      <c r="G73" s="248"/>
      <c r="H73" s="248"/>
      <c r="I73" s="248"/>
      <c r="J73" s="248">
        <v>781846.76</v>
      </c>
      <c r="K73" s="252"/>
      <c r="L73" s="248"/>
      <c r="M73" s="248"/>
      <c r="N73" s="248"/>
      <c r="O73" s="248">
        <v>2901780.13</v>
      </c>
      <c r="P73" s="248">
        <v>3760128.08</v>
      </c>
      <c r="Q73" s="248">
        <v>48293.88</v>
      </c>
      <c r="R73" s="248">
        <v>211526.86</v>
      </c>
      <c r="S73" s="248">
        <v>182020.86</v>
      </c>
      <c r="T73" s="248">
        <v>64818.06</v>
      </c>
      <c r="U73" s="248">
        <v>5178624.04</v>
      </c>
      <c r="V73" s="248">
        <v>403626.23999999999</v>
      </c>
      <c r="W73" s="248">
        <v>49750.61</v>
      </c>
      <c r="X73" s="248">
        <v>2381430.88</v>
      </c>
      <c r="Y73" s="248">
        <v>889347.05999999994</v>
      </c>
      <c r="Z73" s="248"/>
      <c r="AA73" s="248">
        <v>5840.7</v>
      </c>
      <c r="AB73" s="248">
        <v>4445387.34</v>
      </c>
      <c r="AC73" s="248">
        <v>1752805.75</v>
      </c>
      <c r="AD73" s="248"/>
      <c r="AE73" s="248">
        <v>108359.58</v>
      </c>
      <c r="AF73" s="248"/>
      <c r="AG73" s="248">
        <v>2897160.96</v>
      </c>
      <c r="AH73" s="248"/>
      <c r="AI73" s="248"/>
      <c r="AJ73" s="248"/>
      <c r="AK73" s="248">
        <v>41333.300000000003</v>
      </c>
      <c r="AL73" s="248">
        <v>40610.18</v>
      </c>
      <c r="AM73" s="248"/>
      <c r="AN73" s="248"/>
      <c r="AO73" s="248">
        <v>1341451.8600000001</v>
      </c>
      <c r="AP73" s="248"/>
      <c r="AQ73" s="248"/>
      <c r="AR73" s="248"/>
      <c r="AS73" s="248"/>
      <c r="AT73" s="248"/>
      <c r="AU73" s="248"/>
      <c r="AV73" s="248">
        <v>5984.45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88">
        <v>37895331.959999993</v>
      </c>
      <c r="CF73" s="251"/>
    </row>
    <row r="74" spans="1:84" ht="12.65" customHeight="1" x14ac:dyDescent="0.35">
      <c r="A74" s="171" t="s">
        <v>246</v>
      </c>
      <c r="B74" s="175"/>
      <c r="C74" s="184">
        <v>16487.099999999999</v>
      </c>
      <c r="D74" s="184"/>
      <c r="E74" s="185">
        <v>157693</v>
      </c>
      <c r="F74" s="185"/>
      <c r="G74" s="184"/>
      <c r="H74" s="184"/>
      <c r="I74" s="185"/>
      <c r="J74" s="185">
        <v>23657.24</v>
      </c>
      <c r="K74" s="185"/>
      <c r="L74" s="185"/>
      <c r="M74" s="184"/>
      <c r="N74" s="184"/>
      <c r="O74" s="184">
        <v>301245.78000000003</v>
      </c>
      <c r="P74" s="185">
        <v>8228452.2800000003</v>
      </c>
      <c r="Q74" s="185">
        <v>481274.47</v>
      </c>
      <c r="R74" s="185">
        <v>454912.47</v>
      </c>
      <c r="S74" s="185">
        <v>407667.78</v>
      </c>
      <c r="T74" s="185">
        <v>792282.17</v>
      </c>
      <c r="U74" s="185">
        <v>9524631.6300000008</v>
      </c>
      <c r="V74" s="185">
        <v>1035838.56</v>
      </c>
      <c r="W74" s="185">
        <v>881926.01</v>
      </c>
      <c r="X74" s="185">
        <v>14247009.24</v>
      </c>
      <c r="Y74" s="185">
        <v>8451416.4000000004</v>
      </c>
      <c r="Z74" s="185"/>
      <c r="AA74" s="185">
        <v>-5922.71</v>
      </c>
      <c r="AB74" s="185">
        <v>2930460.13</v>
      </c>
      <c r="AC74" s="185">
        <v>958393.86</v>
      </c>
      <c r="AD74" s="185"/>
      <c r="AE74" s="185">
        <v>7459.92</v>
      </c>
      <c r="AF74" s="185"/>
      <c r="AG74" s="185">
        <v>25803732.219999999</v>
      </c>
      <c r="AH74" s="185"/>
      <c r="AI74" s="185"/>
      <c r="AJ74" s="185">
        <v>3404684.59</v>
      </c>
      <c r="AK74" s="185">
        <v>6714.88</v>
      </c>
      <c r="AL74" s="185"/>
      <c r="AM74" s="185"/>
      <c r="AN74" s="185"/>
      <c r="AO74" s="185">
        <v>181180.16</v>
      </c>
      <c r="AP74" s="185"/>
      <c r="AQ74" s="185"/>
      <c r="AR74" s="185"/>
      <c r="AS74" s="185"/>
      <c r="AT74" s="185"/>
      <c r="AU74" s="185"/>
      <c r="AV74" s="185">
        <v>175582.26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v>78466779.440000013</v>
      </c>
      <c r="CF74" s="251"/>
    </row>
    <row r="75" spans="1:84" ht="12.65" customHeight="1" x14ac:dyDescent="0.35">
      <c r="A75" s="171" t="s">
        <v>247</v>
      </c>
      <c r="B75" s="175"/>
      <c r="C75" s="184">
        <v>665302.41</v>
      </c>
      <c r="D75" s="184">
        <v>0</v>
      </c>
      <c r="E75" s="185">
        <v>9912082.0700000003</v>
      </c>
      <c r="F75" s="185">
        <v>0</v>
      </c>
      <c r="G75" s="184">
        <v>0</v>
      </c>
      <c r="H75" s="184">
        <v>0</v>
      </c>
      <c r="I75" s="184">
        <v>0</v>
      </c>
      <c r="J75" s="185">
        <v>805504</v>
      </c>
      <c r="K75" s="185">
        <v>0</v>
      </c>
      <c r="L75" s="185">
        <v>0</v>
      </c>
      <c r="M75" s="184">
        <v>0</v>
      </c>
      <c r="N75" s="184">
        <v>0</v>
      </c>
      <c r="O75" s="184">
        <v>3203025.91</v>
      </c>
      <c r="P75" s="185">
        <v>11988580.359999999</v>
      </c>
      <c r="Q75" s="185">
        <v>529568.35</v>
      </c>
      <c r="R75" s="185">
        <v>666439.32999999996</v>
      </c>
      <c r="S75" s="185">
        <v>589688.64</v>
      </c>
      <c r="T75" s="185">
        <v>857100.23</v>
      </c>
      <c r="U75" s="185">
        <v>14703255.670000002</v>
      </c>
      <c r="V75" s="185">
        <v>1439464.8</v>
      </c>
      <c r="W75" s="185">
        <v>931676.62</v>
      </c>
      <c r="X75" s="185">
        <v>16628440.120000001</v>
      </c>
      <c r="Y75" s="185">
        <v>9340763.4600000009</v>
      </c>
      <c r="Z75" s="185">
        <v>0</v>
      </c>
      <c r="AA75" s="185">
        <v>-82.010000000000218</v>
      </c>
      <c r="AB75" s="185">
        <v>7375847.4699999997</v>
      </c>
      <c r="AC75" s="185">
        <v>2711199.61</v>
      </c>
      <c r="AD75" s="185">
        <v>0</v>
      </c>
      <c r="AE75" s="185">
        <v>115819.5</v>
      </c>
      <c r="AF75" s="185">
        <v>0</v>
      </c>
      <c r="AG75" s="185">
        <v>28700893.18</v>
      </c>
      <c r="AH75" s="185">
        <v>0</v>
      </c>
      <c r="AI75" s="185">
        <v>0</v>
      </c>
      <c r="AJ75" s="185">
        <v>3404684.59</v>
      </c>
      <c r="AK75" s="185">
        <v>48048.18</v>
      </c>
      <c r="AL75" s="185">
        <v>40610.18</v>
      </c>
      <c r="AM75" s="185">
        <v>0</v>
      </c>
      <c r="AN75" s="185">
        <v>0</v>
      </c>
      <c r="AO75" s="185">
        <v>1522632.02</v>
      </c>
      <c r="AP75" s="185">
        <v>0</v>
      </c>
      <c r="AQ75" s="185">
        <v>0</v>
      </c>
      <c r="AR75" s="185">
        <v>0</v>
      </c>
      <c r="AS75" s="185">
        <v>0</v>
      </c>
      <c r="AT75" s="185">
        <v>0</v>
      </c>
      <c r="AU75" s="185">
        <v>0</v>
      </c>
      <c r="AV75" s="185">
        <v>181566.71000000002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v>116362111.40000001</v>
      </c>
      <c r="CF75" s="251"/>
    </row>
    <row r="76" spans="1:84" ht="12.65" customHeight="1" x14ac:dyDescent="0.35">
      <c r="A76" s="171" t="s">
        <v>248</v>
      </c>
      <c r="B76" s="175"/>
      <c r="C76" s="195">
        <v>3000</v>
      </c>
      <c r="D76" s="195"/>
      <c r="E76" s="195">
        <v>9343</v>
      </c>
      <c r="F76" s="195"/>
      <c r="G76" s="195"/>
      <c r="H76" s="195">
        <v>3872</v>
      </c>
      <c r="I76" s="195"/>
      <c r="J76" s="195">
        <v>700</v>
      </c>
      <c r="K76" s="195"/>
      <c r="L76" s="195"/>
      <c r="M76" s="195"/>
      <c r="N76" s="195"/>
      <c r="O76" s="195">
        <v>8865</v>
      </c>
      <c r="P76" s="195">
        <v>2450</v>
      </c>
      <c r="Q76" s="195">
        <v>3905</v>
      </c>
      <c r="R76" s="195">
        <v>160</v>
      </c>
      <c r="S76" s="195"/>
      <c r="T76" s="195"/>
      <c r="U76" s="195">
        <v>2741</v>
      </c>
      <c r="V76" s="195"/>
      <c r="W76" s="195"/>
      <c r="X76" s="195"/>
      <c r="Y76" s="195">
        <v>4078</v>
      </c>
      <c r="Z76" s="195"/>
      <c r="AA76" s="195"/>
      <c r="AB76" s="195">
        <v>1062</v>
      </c>
      <c r="AC76" s="195">
        <v>842</v>
      </c>
      <c r="AD76" s="195"/>
      <c r="AE76" s="195"/>
      <c r="AF76" s="195"/>
      <c r="AG76" s="195">
        <v>4626</v>
      </c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248"/>
      <c r="AX76" s="248"/>
      <c r="AY76" s="248">
        <v>1663</v>
      </c>
      <c r="AZ76" s="248"/>
      <c r="BA76" s="248"/>
      <c r="BB76" s="248"/>
      <c r="BC76" s="248"/>
      <c r="BD76" s="248">
        <v>2128</v>
      </c>
      <c r="BE76" s="248">
        <v>3107</v>
      </c>
      <c r="BF76" s="248">
        <v>1348</v>
      </c>
      <c r="BG76" s="248"/>
      <c r="BH76" s="248">
        <v>280</v>
      </c>
      <c r="BI76" s="248"/>
      <c r="BJ76" s="248"/>
      <c r="BK76" s="248">
        <v>2500</v>
      </c>
      <c r="BL76" s="248"/>
      <c r="BM76" s="248"/>
      <c r="BN76" s="248">
        <v>2193</v>
      </c>
      <c r="BO76" s="248"/>
      <c r="BP76" s="248"/>
      <c r="BQ76" s="248"/>
      <c r="BR76" s="248">
        <v>408</v>
      </c>
      <c r="BS76" s="248">
        <v>300</v>
      </c>
      <c r="BT76" s="248">
        <v>380</v>
      </c>
      <c r="BU76" s="248"/>
      <c r="BV76" s="248">
        <v>1360</v>
      </c>
      <c r="BW76" s="248"/>
      <c r="BX76" s="248">
        <v>324</v>
      </c>
      <c r="BY76" s="248"/>
      <c r="BZ76" s="248"/>
      <c r="CA76" s="248"/>
      <c r="CB76" s="248"/>
      <c r="CC76" s="248">
        <v>8658</v>
      </c>
      <c r="CD76" s="248" t="s">
        <v>221</v>
      </c>
      <c r="CE76" s="195">
        <v>70293</v>
      </c>
      <c r="CF76" s="251">
        <v>0</v>
      </c>
    </row>
    <row r="77" spans="1:84" ht="12.65" customHeight="1" x14ac:dyDescent="0.35">
      <c r="A77" s="171" t="s">
        <v>249</v>
      </c>
      <c r="B77" s="175"/>
      <c r="C77" s="184">
        <v>609</v>
      </c>
      <c r="D77" s="184"/>
      <c r="E77" s="185">
        <v>9582</v>
      </c>
      <c r="F77" s="185"/>
      <c r="G77" s="184"/>
      <c r="H77" s="184">
        <v>11646</v>
      </c>
      <c r="I77" s="185"/>
      <c r="J77" s="185"/>
      <c r="K77" s="185"/>
      <c r="L77" s="185"/>
      <c r="M77" s="185"/>
      <c r="N77" s="185"/>
      <c r="O77" s="185">
        <v>2189</v>
      </c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 t="s">
        <v>221</v>
      </c>
      <c r="AY77" s="185" t="s">
        <v>221</v>
      </c>
      <c r="AZ77" s="185"/>
      <c r="BA77" s="185"/>
      <c r="BB77" s="185"/>
      <c r="BC77" s="185"/>
      <c r="BD77" s="185" t="s">
        <v>221</v>
      </c>
      <c r="BE77" s="185" t="s">
        <v>221</v>
      </c>
      <c r="BF77" s="185"/>
      <c r="BG77" s="185" t="s">
        <v>221</v>
      </c>
      <c r="BH77" s="185"/>
      <c r="BI77" s="185"/>
      <c r="BJ77" s="185" t="s">
        <v>221</v>
      </c>
      <c r="BK77" s="185"/>
      <c r="BL77" s="185"/>
      <c r="BM77" s="185"/>
      <c r="BN77" s="185" t="s">
        <v>221</v>
      </c>
      <c r="BO77" s="185" t="s">
        <v>221</v>
      </c>
      <c r="BP77" s="185" t="s">
        <v>221</v>
      </c>
      <c r="BQ77" s="185" t="s">
        <v>221</v>
      </c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 t="s">
        <v>221</v>
      </c>
      <c r="CD77" s="248" t="s">
        <v>221</v>
      </c>
      <c r="CE77" s="195">
        <v>24026</v>
      </c>
      <c r="CF77" s="195"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184" t="s">
        <v>221</v>
      </c>
      <c r="BA78" s="184"/>
      <c r="BB78" s="184"/>
      <c r="BC78" s="184"/>
      <c r="BD78" s="248" t="s">
        <v>221</v>
      </c>
      <c r="BE78" s="248" t="s">
        <v>221</v>
      </c>
      <c r="BF78" s="184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184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v>0</v>
      </c>
      <c r="CF78" s="195"/>
    </row>
    <row r="79" spans="1:84" ht="12.65" customHeight="1" x14ac:dyDescent="0.35">
      <c r="A79" s="171" t="s">
        <v>251</v>
      </c>
      <c r="B79" s="175"/>
      <c r="C79" s="184">
        <v>36033</v>
      </c>
      <c r="D79" s="184"/>
      <c r="E79" s="184">
        <v>9627</v>
      </c>
      <c r="F79" s="184">
        <v>39286</v>
      </c>
      <c r="G79" s="184"/>
      <c r="H79" s="184">
        <v>6500</v>
      </c>
      <c r="I79" s="184"/>
      <c r="J79" s="184"/>
      <c r="K79" s="184"/>
      <c r="L79" s="184"/>
      <c r="M79" s="184"/>
      <c r="N79" s="184"/>
      <c r="O79" s="184"/>
      <c r="P79" s="184">
        <v>21266</v>
      </c>
      <c r="Q79" s="184"/>
      <c r="R79" s="184"/>
      <c r="S79" s="184"/>
      <c r="T79" s="184"/>
      <c r="U79" s="184"/>
      <c r="V79" s="184"/>
      <c r="W79" s="184"/>
      <c r="X79" s="184"/>
      <c r="Y79" s="184">
        <v>17013</v>
      </c>
      <c r="Z79" s="184"/>
      <c r="AA79" s="184"/>
      <c r="AB79" s="184"/>
      <c r="AC79" s="184"/>
      <c r="AD79" s="184"/>
      <c r="AE79" s="184"/>
      <c r="AF79" s="184"/>
      <c r="AG79" s="184">
        <v>82939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184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v>212664</v>
      </c>
      <c r="CF79" s="195">
        <v>0</v>
      </c>
    </row>
    <row r="80" spans="1:84" ht="12.65" customHeight="1" x14ac:dyDescent="0.35">
      <c r="A80" s="171" t="s">
        <v>252</v>
      </c>
      <c r="B80" s="175"/>
      <c r="C80" s="225">
        <v>6.53</v>
      </c>
      <c r="D80" s="225"/>
      <c r="E80" s="184">
        <v>20.85</v>
      </c>
      <c r="F80" s="184"/>
      <c r="G80" s="184"/>
      <c r="H80" s="184"/>
      <c r="I80" s="184"/>
      <c r="J80" s="184"/>
      <c r="K80" s="184"/>
      <c r="L80" s="184"/>
      <c r="M80" s="184"/>
      <c r="N80" s="184"/>
      <c r="O80" s="184">
        <v>13.32</v>
      </c>
      <c r="P80" s="184">
        <v>4.9000000000000004</v>
      </c>
      <c r="Q80" s="184">
        <v>1.57</v>
      </c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>
        <v>13.85</v>
      </c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184" t="s">
        <v>221</v>
      </c>
      <c r="BC80" s="184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184" t="s">
        <v>221</v>
      </c>
      <c r="BI80" s="184" t="s">
        <v>221</v>
      </c>
      <c r="BJ80" s="248" t="s">
        <v>221</v>
      </c>
      <c r="BK80" s="184" t="s">
        <v>221</v>
      </c>
      <c r="BL80" s="184" t="s">
        <v>221</v>
      </c>
      <c r="BM80" s="184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184" t="s">
        <v>221</v>
      </c>
      <c r="BT80" s="184" t="s">
        <v>221</v>
      </c>
      <c r="BU80" s="184"/>
      <c r="BV80" s="184"/>
      <c r="BW80" s="184"/>
      <c r="BX80" s="184"/>
      <c r="BY80" s="184"/>
      <c r="BZ80" s="184"/>
      <c r="CA80" s="184"/>
      <c r="CB80" s="184"/>
      <c r="CC80" s="248" t="s">
        <v>221</v>
      </c>
      <c r="CD80" s="248" t="s">
        <v>221</v>
      </c>
      <c r="CE80" s="195">
        <v>61.02</v>
      </c>
      <c r="CF80" s="195"/>
    </row>
    <row r="81" spans="1:84" ht="21" customHeight="1" x14ac:dyDescent="0.35">
      <c r="A81" s="171" t="s">
        <v>253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48"/>
      <c r="AX81" s="248"/>
      <c r="AY81" s="248"/>
      <c r="AZ81" s="248"/>
      <c r="BA81" s="248"/>
      <c r="BB81" s="248"/>
      <c r="BC81" s="248"/>
      <c r="BD81" s="248"/>
      <c r="BE81" s="248"/>
      <c r="BF81" s="248"/>
      <c r="BG81" s="248"/>
      <c r="BH81" s="248"/>
      <c r="BI81" s="248"/>
      <c r="BJ81" s="248"/>
      <c r="BK81" s="248"/>
      <c r="BL81" s="248"/>
      <c r="BM81" s="248"/>
      <c r="BN81" s="248"/>
      <c r="BO81" s="248"/>
      <c r="BP81" s="248"/>
      <c r="BQ81" s="248"/>
      <c r="BR81" s="248"/>
      <c r="BS81" s="248"/>
      <c r="BT81" s="248"/>
      <c r="BU81" s="253"/>
      <c r="BV81" s="253"/>
      <c r="BW81" s="253"/>
      <c r="BX81" s="253"/>
      <c r="BY81" s="253"/>
      <c r="BZ81" s="253"/>
      <c r="CA81" s="253"/>
      <c r="CB81" s="253"/>
      <c r="CC81" s="248"/>
      <c r="CD81" s="248"/>
      <c r="CE81" s="254"/>
      <c r="CF81" s="254"/>
    </row>
    <row r="82" spans="1:84" ht="12.65" customHeight="1" x14ac:dyDescent="0.35">
      <c r="A82" s="208" t="s">
        <v>254</v>
      </c>
      <c r="B82" s="208"/>
      <c r="C82" s="208" t="s">
        <v>1267</v>
      </c>
      <c r="D82" s="208"/>
      <c r="E82" s="208"/>
    </row>
    <row r="83" spans="1:84" ht="12.65" customHeight="1" x14ac:dyDescent="0.35">
      <c r="A83" s="171" t="s">
        <v>255</v>
      </c>
      <c r="B83" s="172" t="s">
        <v>256</v>
      </c>
      <c r="C83" s="279" t="s">
        <v>1268</v>
      </c>
      <c r="D83" s="255"/>
      <c r="E83" s="175"/>
    </row>
    <row r="84" spans="1:84" ht="12.65" customHeight="1" x14ac:dyDescent="0.35">
      <c r="A84" s="173" t="s">
        <v>257</v>
      </c>
      <c r="B84" s="172" t="s">
        <v>256</v>
      </c>
      <c r="C84" s="226" t="s">
        <v>1269</v>
      </c>
      <c r="D84" s="255"/>
      <c r="E84" s="175"/>
    </row>
    <row r="85" spans="1:84" ht="12.65" customHeight="1" x14ac:dyDescent="0.35">
      <c r="A85" s="173" t="s">
        <v>1251</v>
      </c>
      <c r="B85" s="172"/>
      <c r="C85" s="226" t="s">
        <v>1270</v>
      </c>
      <c r="D85" s="205"/>
      <c r="E85" s="204"/>
    </row>
    <row r="86" spans="1:84" ht="12.65" customHeight="1" x14ac:dyDescent="0.35">
      <c r="A86" s="173" t="s">
        <v>1252</v>
      </c>
      <c r="B86" s="172" t="s">
        <v>256</v>
      </c>
      <c r="C86" s="226"/>
      <c r="D86" s="205"/>
      <c r="E86" s="204"/>
    </row>
    <row r="87" spans="1:84" ht="12.65" customHeight="1" x14ac:dyDescent="0.35">
      <c r="A87" s="173" t="s">
        <v>258</v>
      </c>
      <c r="B87" s="172" t="s">
        <v>256</v>
      </c>
      <c r="C87" s="226" t="s">
        <v>1271</v>
      </c>
      <c r="D87" s="205"/>
      <c r="E87" s="204"/>
    </row>
    <row r="88" spans="1:84" ht="12.65" customHeight="1" x14ac:dyDescent="0.35">
      <c r="A88" s="173" t="s">
        <v>259</v>
      </c>
      <c r="B88" s="172" t="s">
        <v>256</v>
      </c>
      <c r="C88" s="226" t="s">
        <v>1272</v>
      </c>
      <c r="D88" s="205"/>
      <c r="E88" s="204"/>
    </row>
    <row r="89" spans="1:84" ht="12.65" customHeight="1" x14ac:dyDescent="0.35">
      <c r="A89" s="173" t="s">
        <v>260</v>
      </c>
      <c r="B89" s="172" t="s">
        <v>256</v>
      </c>
      <c r="C89" s="226" t="s">
        <v>1273</v>
      </c>
      <c r="D89" s="205"/>
      <c r="E89" s="204"/>
    </row>
    <row r="90" spans="1:84" ht="12.65" customHeight="1" x14ac:dyDescent="0.35">
      <c r="A90" s="173" t="s">
        <v>261</v>
      </c>
      <c r="B90" s="172" t="s">
        <v>256</v>
      </c>
      <c r="C90" s="226" t="s">
        <v>1274</v>
      </c>
      <c r="D90" s="205"/>
      <c r="E90" s="204"/>
    </row>
    <row r="91" spans="1:84" ht="12.65" customHeight="1" x14ac:dyDescent="0.35">
      <c r="A91" s="173" t="s">
        <v>262</v>
      </c>
      <c r="B91" s="172" t="s">
        <v>256</v>
      </c>
      <c r="C91" s="226" t="s">
        <v>1275</v>
      </c>
      <c r="D91" s="205"/>
      <c r="E91" s="204"/>
    </row>
    <row r="92" spans="1:84" ht="12.65" customHeight="1" x14ac:dyDescent="0.35">
      <c r="A92" s="173" t="s">
        <v>263</v>
      </c>
      <c r="B92" s="172" t="s">
        <v>256</v>
      </c>
      <c r="C92" s="226" t="s">
        <v>1276</v>
      </c>
      <c r="D92" s="205"/>
      <c r="E92" s="204"/>
    </row>
    <row r="93" spans="1:84" ht="12.65" customHeight="1" x14ac:dyDescent="0.35">
      <c r="A93" s="173" t="s">
        <v>264</v>
      </c>
      <c r="B93" s="172" t="s">
        <v>256</v>
      </c>
      <c r="C93" s="226" t="s">
        <v>1277</v>
      </c>
      <c r="D93" s="255"/>
      <c r="E93" s="175"/>
    </row>
    <row r="94" spans="1:84" ht="12.65" customHeight="1" x14ac:dyDescent="0.35">
      <c r="A94" s="173"/>
      <c r="B94" s="172"/>
      <c r="C94" s="226"/>
      <c r="D94" s="255"/>
      <c r="E94" s="175"/>
    </row>
    <row r="95" spans="1:84" ht="12.65" customHeight="1" x14ac:dyDescent="0.35">
      <c r="A95" s="173" t="s">
        <v>265</v>
      </c>
      <c r="B95" s="173"/>
      <c r="C95" s="191"/>
      <c r="D95" s="175"/>
      <c r="E95" s="175"/>
    </row>
    <row r="96" spans="1:84" ht="12.65" customHeight="1" x14ac:dyDescent="0.35">
      <c r="A96" s="208" t="s">
        <v>266</v>
      </c>
      <c r="B96" s="208"/>
      <c r="C96" s="208"/>
      <c r="D96" s="208"/>
      <c r="E96" s="208"/>
    </row>
    <row r="97" spans="1:5" ht="12.65" customHeight="1" x14ac:dyDescent="0.35">
      <c r="A97" s="256" t="s">
        <v>267</v>
      </c>
      <c r="B97" s="256" t="s">
        <v>256</v>
      </c>
      <c r="C97" s="256"/>
      <c r="D97" s="256"/>
      <c r="E97" s="256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269</v>
      </c>
      <c r="B100" s="172"/>
      <c r="C100" s="189"/>
      <c r="D100" s="175"/>
      <c r="E100" s="175"/>
    </row>
    <row r="101" spans="1:5" ht="12.65" customHeight="1" x14ac:dyDescent="0.35">
      <c r="A101" s="256" t="s">
        <v>270</v>
      </c>
      <c r="B101" s="256" t="s">
        <v>256</v>
      </c>
      <c r="C101" s="256"/>
      <c r="D101" s="256"/>
      <c r="E101" s="256"/>
    </row>
    <row r="102" spans="1:5" ht="12.65" customHeight="1" x14ac:dyDescent="0.35">
      <c r="A102" s="173" t="s">
        <v>132</v>
      </c>
      <c r="B102" s="172" t="s">
        <v>256</v>
      </c>
      <c r="C102" s="189">
        <v>1</v>
      </c>
      <c r="D102" s="175"/>
      <c r="E102" s="175"/>
    </row>
    <row r="103" spans="1:5" ht="12.65" customHeight="1" x14ac:dyDescent="0.35">
      <c r="A103" s="173" t="s">
        <v>271</v>
      </c>
      <c r="B103" s="172"/>
      <c r="C103" s="222"/>
      <c r="D103" s="175"/>
      <c r="E103" s="175"/>
    </row>
    <row r="104" spans="1:5" ht="12.65" customHeight="1" x14ac:dyDescent="0.35">
      <c r="A104" s="256" t="s">
        <v>272</v>
      </c>
      <c r="B104" s="256" t="s">
        <v>256</v>
      </c>
      <c r="C104" s="256"/>
      <c r="D104" s="256"/>
      <c r="E104" s="256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/>
      <c r="B107" s="172"/>
      <c r="C107" s="189"/>
      <c r="D107" s="175"/>
      <c r="E107" s="175"/>
    </row>
    <row r="108" spans="1:5" ht="21.75" customHeight="1" x14ac:dyDescent="0.35">
      <c r="A108" s="173" t="s">
        <v>275</v>
      </c>
      <c r="B108" s="172"/>
      <c r="C108" s="190"/>
      <c r="D108" s="175"/>
      <c r="E108" s="175"/>
    </row>
    <row r="109" spans="1:5" ht="13.5" customHeight="1" x14ac:dyDescent="0.35">
      <c r="A109" s="207"/>
      <c r="B109" s="208"/>
      <c r="C109" s="208"/>
      <c r="D109" s="208"/>
      <c r="E109" s="208"/>
    </row>
    <row r="110" spans="1:5" ht="13.5" customHeight="1" x14ac:dyDescent="0.35">
      <c r="A110" s="173" t="s">
        <v>276</v>
      </c>
      <c r="B110" s="172"/>
      <c r="C110" s="190" t="s">
        <v>277</v>
      </c>
      <c r="D110" s="175" t="s">
        <v>215</v>
      </c>
      <c r="E110" s="175"/>
    </row>
    <row r="111" spans="1:5" ht="12.65" customHeight="1" x14ac:dyDescent="0.35">
      <c r="A111" s="171" t="s">
        <v>278</v>
      </c>
      <c r="B111" s="175" t="s">
        <v>256</v>
      </c>
      <c r="C111" s="182">
        <v>1396</v>
      </c>
      <c r="D111" s="170">
        <v>7367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362</v>
      </c>
      <c r="D114" s="174">
        <v>429</v>
      </c>
      <c r="E114" s="175"/>
    </row>
    <row r="115" spans="1:5" ht="12.65" customHeight="1" x14ac:dyDescent="0.35">
      <c r="A115" s="173" t="s">
        <v>282</v>
      </c>
      <c r="B115" s="172"/>
      <c r="C115" s="189" t="s">
        <v>167</v>
      </c>
      <c r="D115" s="174"/>
      <c r="E115" s="175"/>
    </row>
    <row r="116" spans="1:5" ht="12.65" customHeight="1" x14ac:dyDescent="0.35">
      <c r="A116" s="171" t="s">
        <v>283</v>
      </c>
      <c r="B116" s="175" t="s">
        <v>256</v>
      </c>
      <c r="C116" s="182">
        <v>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2"/>
      <c r="C127" s="189"/>
      <c r="D127" s="175"/>
      <c r="E127" s="175">
        <v>51</v>
      </c>
    </row>
    <row r="128" spans="1:5" ht="12.65" customHeight="1" x14ac:dyDescent="0.35">
      <c r="A128" s="173" t="s">
        <v>292</v>
      </c>
      <c r="B128" s="175" t="s">
        <v>256</v>
      </c>
      <c r="C128" s="191">
        <v>78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5" customHeight="1" x14ac:dyDescent="0.35">
      <c r="A130" s="173"/>
      <c r="B130" s="172"/>
      <c r="C130" s="189"/>
      <c r="D130" s="175"/>
      <c r="E130" s="175"/>
    </row>
    <row r="131" spans="1:6" ht="12.65" customHeight="1" x14ac:dyDescent="0.35">
      <c r="A131" s="173" t="s">
        <v>294</v>
      </c>
      <c r="B131" s="175" t="s">
        <v>256</v>
      </c>
      <c r="C131" s="191"/>
      <c r="D131" s="175"/>
      <c r="E131" s="175"/>
    </row>
    <row r="132" spans="1:6" ht="12.65" customHeight="1" x14ac:dyDescent="0.35">
      <c r="A132" s="173"/>
      <c r="B132" s="172"/>
      <c r="C132" s="189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 t="s">
        <v>1240</v>
      </c>
      <c r="B136" s="173"/>
      <c r="C136" s="191"/>
      <c r="D136" s="175"/>
      <c r="E136" s="175"/>
    </row>
    <row r="137" spans="1:6" ht="12.65" customHeight="1" x14ac:dyDescent="0.35">
      <c r="A137" s="208" t="s">
        <v>295</v>
      </c>
      <c r="B137" s="207" t="s">
        <v>296</v>
      </c>
      <c r="C137" s="207" t="s">
        <v>297</v>
      </c>
      <c r="D137" s="207" t="s">
        <v>132</v>
      </c>
      <c r="E137" s="207" t="s">
        <v>203</v>
      </c>
    </row>
    <row r="138" spans="1:6" ht="12.65" customHeight="1" x14ac:dyDescent="0.35">
      <c r="A138" s="257" t="s">
        <v>277</v>
      </c>
      <c r="B138" s="176">
        <v>238</v>
      </c>
      <c r="C138" s="192">
        <v>597</v>
      </c>
      <c r="D138" s="176">
        <v>1202</v>
      </c>
      <c r="E138" s="176">
        <v>2037</v>
      </c>
    </row>
    <row r="139" spans="1:6" ht="12.65" customHeight="1" x14ac:dyDescent="0.35">
      <c r="A139" s="173" t="s">
        <v>215</v>
      </c>
      <c r="B139" s="174">
        <v>1493</v>
      </c>
      <c r="C139" s="189">
        <v>489</v>
      </c>
      <c r="D139" s="174">
        <v>5385</v>
      </c>
      <c r="E139" s="175">
        <v>7367</v>
      </c>
    </row>
    <row r="140" spans="1:6" ht="12.65" customHeight="1" x14ac:dyDescent="0.35">
      <c r="A140" s="173" t="s">
        <v>298</v>
      </c>
      <c r="B140" s="174">
        <v>5276</v>
      </c>
      <c r="C140" s="189">
        <v>1958</v>
      </c>
      <c r="D140" s="174">
        <v>19183</v>
      </c>
      <c r="E140" s="175">
        <v>26417</v>
      </c>
    </row>
    <row r="141" spans="1:6" ht="12.65" customHeight="1" x14ac:dyDescent="0.35">
      <c r="A141" s="173" t="s">
        <v>245</v>
      </c>
      <c r="B141" s="174">
        <v>8160416.1100000003</v>
      </c>
      <c r="C141" s="174">
        <v>21301235.390000001</v>
      </c>
      <c r="D141" s="174">
        <v>8433680.5</v>
      </c>
      <c r="E141" s="175">
        <v>37895332</v>
      </c>
    </row>
    <row r="142" spans="1:6" ht="12.65" customHeight="1" x14ac:dyDescent="0.35">
      <c r="A142" s="173" t="s">
        <v>246</v>
      </c>
      <c r="B142" s="174">
        <v>9062400.5099999998</v>
      </c>
      <c r="C142" s="189">
        <v>38372946.590000004</v>
      </c>
      <c r="D142" s="174">
        <v>31031431.899999999</v>
      </c>
      <c r="E142" s="175">
        <v>78466779</v>
      </c>
      <c r="F142" s="199"/>
    </row>
    <row r="143" spans="1:6" ht="12.65" customHeight="1" x14ac:dyDescent="0.35">
      <c r="A143" s="173" t="s">
        <v>299</v>
      </c>
      <c r="B143" s="174" t="s">
        <v>296</v>
      </c>
      <c r="C143" s="189" t="s">
        <v>297</v>
      </c>
      <c r="D143" s="174" t="s">
        <v>132</v>
      </c>
      <c r="E143" s="175" t="s">
        <v>203</v>
      </c>
      <c r="F143" s="199"/>
    </row>
    <row r="144" spans="1:6" ht="12.65" customHeight="1" x14ac:dyDescent="0.35">
      <c r="A144" s="257" t="s">
        <v>277</v>
      </c>
      <c r="B144" s="176"/>
      <c r="C144" s="192"/>
      <c r="D144" s="176"/>
      <c r="E144" s="176"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v>0</v>
      </c>
    </row>
    <row r="149" spans="1:5" ht="12.65" customHeight="1" x14ac:dyDescent="0.35">
      <c r="A149" s="173" t="s">
        <v>300</v>
      </c>
      <c r="B149" s="174" t="s">
        <v>296</v>
      </c>
      <c r="C149" s="189" t="s">
        <v>297</v>
      </c>
      <c r="D149" s="174" t="s">
        <v>132</v>
      </c>
      <c r="E149" s="175" t="s">
        <v>203</v>
      </c>
    </row>
    <row r="150" spans="1:5" ht="12.65" customHeight="1" x14ac:dyDescent="0.35">
      <c r="A150" s="257" t="s">
        <v>277</v>
      </c>
      <c r="B150" s="176"/>
      <c r="C150" s="192"/>
      <c r="D150" s="176"/>
      <c r="E150" s="176"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v>0</v>
      </c>
    </row>
    <row r="155" spans="1:5" ht="12.65" customHeight="1" x14ac:dyDescent="0.35">
      <c r="A155" s="173"/>
      <c r="B155" s="174"/>
      <c r="C155" s="189"/>
      <c r="D155" s="174"/>
      <c r="E155" s="175"/>
    </row>
    <row r="156" spans="1:5" ht="12.65" customHeight="1" x14ac:dyDescent="0.35">
      <c r="A156" s="177" t="s">
        <v>301</v>
      </c>
      <c r="B156" s="177" t="s">
        <v>302</v>
      </c>
      <c r="C156" s="193" t="s">
        <v>303</v>
      </c>
      <c r="D156" s="178"/>
      <c r="E156" s="175"/>
    </row>
    <row r="157" spans="1:5" ht="12.65" customHeight="1" x14ac:dyDescent="0.35">
      <c r="A157" s="257" t="s">
        <v>304</v>
      </c>
      <c r="B157" s="176"/>
      <c r="C157" s="192"/>
      <c r="D157" s="175"/>
      <c r="E157" s="175"/>
    </row>
    <row r="158" spans="1:5" ht="12.65" customHeight="1" x14ac:dyDescent="0.35">
      <c r="A158" s="177"/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 t="s">
        <v>305</v>
      </c>
      <c r="B163" s="177"/>
      <c r="C163" s="193"/>
      <c r="D163" s="178"/>
      <c r="E163" s="175"/>
    </row>
    <row r="164" spans="1:5" ht="11.5" customHeight="1" x14ac:dyDescent="0.35">
      <c r="A164" s="207" t="s">
        <v>306</v>
      </c>
      <c r="B164" s="208"/>
      <c r="C164" s="208"/>
      <c r="D164" s="208"/>
      <c r="E164" s="208"/>
    </row>
    <row r="165" spans="1:5" ht="11.5" customHeight="1" x14ac:dyDescent="0.35">
      <c r="A165" s="256" t="s">
        <v>307</v>
      </c>
      <c r="B165" s="256" t="s">
        <v>256</v>
      </c>
      <c r="C165" s="256">
        <v>759011.66</v>
      </c>
      <c r="D165" s="256"/>
      <c r="E165" s="256"/>
    </row>
    <row r="166" spans="1:5" ht="11.5" customHeight="1" x14ac:dyDescent="0.35">
      <c r="A166" s="173" t="s">
        <v>308</v>
      </c>
      <c r="B166" s="172" t="s">
        <v>256</v>
      </c>
      <c r="C166" s="189">
        <v>66857.11</v>
      </c>
      <c r="D166" s="175"/>
      <c r="E166" s="175"/>
    </row>
    <row r="167" spans="1:5" ht="11.5" customHeight="1" x14ac:dyDescent="0.35">
      <c r="A167" s="173" t="s">
        <v>309</v>
      </c>
      <c r="B167" s="172" t="s">
        <v>256</v>
      </c>
      <c r="C167" s="189">
        <v>-32304.91</v>
      </c>
      <c r="D167" s="175"/>
      <c r="E167" s="175"/>
    </row>
    <row r="168" spans="1:5" ht="11.5" customHeight="1" x14ac:dyDescent="0.35">
      <c r="A168" s="177" t="s">
        <v>310</v>
      </c>
      <c r="B168" s="172" t="s">
        <v>256</v>
      </c>
      <c r="C168" s="189">
        <v>518873.82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366080.76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2"/>
      <c r="C173" s="189"/>
      <c r="D173" s="175">
        <v>1678518.44</v>
      </c>
      <c r="E173" s="175"/>
    </row>
    <row r="174" spans="1:5" ht="11.5" customHeight="1" x14ac:dyDescent="0.35">
      <c r="A174" s="173" t="s">
        <v>314</v>
      </c>
      <c r="B174" s="175"/>
      <c r="C174" s="191"/>
      <c r="D174" s="175"/>
      <c r="E174" s="175"/>
    </row>
    <row r="175" spans="1:5" ht="11.5" customHeight="1" x14ac:dyDescent="0.35">
      <c r="A175" s="256" t="s">
        <v>315</v>
      </c>
      <c r="B175" s="256" t="s">
        <v>256</v>
      </c>
      <c r="C175" s="256">
        <v>229416.97</v>
      </c>
      <c r="D175" s="256"/>
      <c r="E175" s="256"/>
    </row>
    <row r="176" spans="1:5" ht="11.5" customHeight="1" x14ac:dyDescent="0.35">
      <c r="A176" s="173" t="s">
        <v>316</v>
      </c>
      <c r="B176" s="172" t="s">
        <v>256</v>
      </c>
      <c r="C176" s="189">
        <v>6955.96</v>
      </c>
      <c r="D176" s="175"/>
      <c r="E176" s="175"/>
    </row>
    <row r="177" spans="1:5" ht="11.5" customHeight="1" x14ac:dyDescent="0.35">
      <c r="A177" s="173" t="s">
        <v>203</v>
      </c>
      <c r="B177" s="172"/>
      <c r="C177" s="189"/>
      <c r="D177" s="175">
        <v>236372.93</v>
      </c>
      <c r="E177" s="175"/>
    </row>
    <row r="178" spans="1:5" ht="11.5" customHeight="1" x14ac:dyDescent="0.35">
      <c r="A178" s="173" t="s">
        <v>317</v>
      </c>
      <c r="B178" s="175"/>
      <c r="C178" s="191"/>
      <c r="D178" s="175"/>
      <c r="E178" s="175"/>
    </row>
    <row r="179" spans="1:5" ht="11.5" customHeight="1" x14ac:dyDescent="0.35">
      <c r="A179" s="256" t="s">
        <v>318</v>
      </c>
      <c r="B179" s="256" t="s">
        <v>256</v>
      </c>
      <c r="C179" s="256">
        <v>153217.99</v>
      </c>
      <c r="D179" s="256"/>
      <c r="E179" s="256"/>
    </row>
    <row r="180" spans="1:5" ht="11.5" customHeight="1" x14ac:dyDescent="0.35">
      <c r="A180" s="173" t="s">
        <v>319</v>
      </c>
      <c r="B180" s="172" t="s">
        <v>256</v>
      </c>
      <c r="C180" s="189">
        <v>5730.39</v>
      </c>
      <c r="D180" s="175"/>
      <c r="E180" s="175"/>
    </row>
    <row r="181" spans="1:5" ht="11.5" customHeight="1" x14ac:dyDescent="0.35">
      <c r="A181" s="173" t="s">
        <v>203</v>
      </c>
      <c r="B181" s="172"/>
      <c r="C181" s="189"/>
      <c r="D181" s="175">
        <v>158948.38</v>
      </c>
      <c r="E181" s="175"/>
    </row>
    <row r="182" spans="1:5" ht="11.5" customHeight="1" x14ac:dyDescent="0.35">
      <c r="A182" s="173" t="s">
        <v>320</v>
      </c>
      <c r="B182" s="175"/>
      <c r="C182" s="191"/>
      <c r="D182" s="175"/>
      <c r="E182" s="175"/>
    </row>
    <row r="183" spans="1:5" ht="11.5" customHeight="1" x14ac:dyDescent="0.35">
      <c r="A183" s="256" t="s">
        <v>321</v>
      </c>
      <c r="B183" s="256" t="s">
        <v>256</v>
      </c>
      <c r="C183" s="256"/>
      <c r="D183" s="256"/>
      <c r="E183" s="256"/>
    </row>
    <row r="184" spans="1:5" ht="11.5" customHeight="1" x14ac:dyDescent="0.35">
      <c r="A184" s="173" t="s">
        <v>322</v>
      </c>
      <c r="B184" s="172" t="s">
        <v>256</v>
      </c>
      <c r="C184" s="189">
        <v>223618.21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923226.93</v>
      </c>
      <c r="D185" s="175"/>
      <c r="E185" s="175"/>
    </row>
    <row r="186" spans="1:5" ht="11.5" customHeight="1" x14ac:dyDescent="0.35">
      <c r="A186" s="173" t="s">
        <v>203</v>
      </c>
      <c r="B186" s="172"/>
      <c r="C186" s="189"/>
      <c r="D186" s="175">
        <v>1146845.1400000001</v>
      </c>
      <c r="E186" s="175"/>
    </row>
    <row r="187" spans="1:5" ht="11.5" customHeight="1" x14ac:dyDescent="0.35">
      <c r="A187" s="173" t="s">
        <v>323</v>
      </c>
      <c r="B187" s="175"/>
      <c r="C187" s="191"/>
      <c r="D187" s="175"/>
      <c r="E187" s="175"/>
    </row>
    <row r="188" spans="1:5" ht="11.5" customHeight="1" x14ac:dyDescent="0.35">
      <c r="A188" s="256" t="s">
        <v>324</v>
      </c>
      <c r="B188" s="256" t="s">
        <v>256</v>
      </c>
      <c r="C188" s="256">
        <v>381749.15</v>
      </c>
      <c r="D188" s="256"/>
      <c r="E188" s="256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2"/>
      <c r="C190" s="189"/>
      <c r="D190" s="175">
        <v>381749.15</v>
      </c>
      <c r="E190" s="175"/>
    </row>
    <row r="191" spans="1:5" ht="11.5" customHeight="1" x14ac:dyDescent="0.35">
      <c r="A191" s="173"/>
      <c r="B191" s="175"/>
      <c r="C191" s="191"/>
      <c r="D191" s="175"/>
      <c r="E191" s="175"/>
    </row>
    <row r="192" spans="1:5" ht="18" customHeight="1" x14ac:dyDescent="0.35">
      <c r="A192" s="173" t="s">
        <v>326</v>
      </c>
      <c r="B192" s="175"/>
      <c r="C192" s="191"/>
      <c r="D192" s="175"/>
      <c r="E192" s="175"/>
    </row>
    <row r="193" spans="1:8" ht="12.65" customHeight="1" x14ac:dyDescent="0.35">
      <c r="A193" s="208" t="s">
        <v>327</v>
      </c>
      <c r="B193" s="208"/>
      <c r="C193" s="208"/>
      <c r="D193" s="208"/>
      <c r="E193" s="208"/>
    </row>
    <row r="194" spans="1:8" ht="12.65" customHeight="1" x14ac:dyDescent="0.35">
      <c r="A194" s="207"/>
      <c r="B194" s="208" t="s">
        <v>328</v>
      </c>
      <c r="C194" s="208" t="s">
        <v>329</v>
      </c>
      <c r="D194" s="208" t="s">
        <v>330</v>
      </c>
      <c r="E194" s="208" t="s">
        <v>331</v>
      </c>
    </row>
    <row r="195" spans="1:8" ht="12.65" customHeight="1" x14ac:dyDescent="0.35">
      <c r="A195" s="171" t="s">
        <v>332</v>
      </c>
      <c r="B195" s="170">
        <v>550000</v>
      </c>
      <c r="C195" s="182"/>
      <c r="D195" s="170"/>
      <c r="E195" s="170">
        <v>550000</v>
      </c>
    </row>
    <row r="196" spans="1:8" ht="12.65" customHeight="1" x14ac:dyDescent="0.35">
      <c r="A196" s="173" t="s">
        <v>333</v>
      </c>
      <c r="B196" s="174">
        <v>11949.93</v>
      </c>
      <c r="C196" s="189">
        <v>15002.95</v>
      </c>
      <c r="D196" s="174"/>
      <c r="E196" s="175">
        <v>26952.880000000001</v>
      </c>
    </row>
    <row r="197" spans="1:8" ht="12.65" customHeight="1" x14ac:dyDescent="0.35">
      <c r="A197" s="173" t="s">
        <v>334</v>
      </c>
      <c r="B197" s="174">
        <v>6732357.4899999993</v>
      </c>
      <c r="C197" s="189">
        <v>11660</v>
      </c>
      <c r="D197" s="174"/>
      <c r="E197" s="175">
        <v>6744017.4899999993</v>
      </c>
    </row>
    <row r="198" spans="1:8" ht="12.65" customHeight="1" x14ac:dyDescent="0.35">
      <c r="A198" s="173" t="s">
        <v>335</v>
      </c>
      <c r="B198" s="174">
        <v>82396.7</v>
      </c>
      <c r="C198" s="189"/>
      <c r="D198" s="174"/>
      <c r="E198" s="175">
        <v>82396.7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v>0</v>
      </c>
    </row>
    <row r="200" spans="1:8" ht="12.65" customHeight="1" x14ac:dyDescent="0.35">
      <c r="A200" s="173" t="s">
        <v>337</v>
      </c>
      <c r="B200" s="174">
        <v>1449765.82</v>
      </c>
      <c r="C200" s="189">
        <v>146131.41</v>
      </c>
      <c r="D200" s="174"/>
      <c r="E200" s="175">
        <v>1595897.23</v>
      </c>
    </row>
    <row r="201" spans="1:8" ht="12.65" customHeight="1" x14ac:dyDescent="0.35">
      <c r="A201" s="173" t="s">
        <v>338</v>
      </c>
      <c r="B201" s="174">
        <v>127089.58</v>
      </c>
      <c r="C201" s="189">
        <v>106850.41</v>
      </c>
      <c r="D201" s="174"/>
      <c r="E201" s="175">
        <v>233939.99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v>0</v>
      </c>
    </row>
    <row r="203" spans="1:8" ht="12.65" customHeight="1" x14ac:dyDescent="0.35">
      <c r="A203" s="173" t="s">
        <v>340</v>
      </c>
      <c r="B203" s="174">
        <v>747864.29</v>
      </c>
      <c r="C203" s="189">
        <v>459335.49</v>
      </c>
      <c r="D203" s="174"/>
      <c r="E203" s="175">
        <v>1207199.78</v>
      </c>
    </row>
    <row r="204" spans="1:8" ht="12.65" customHeight="1" x14ac:dyDescent="0.35">
      <c r="A204" s="173" t="s">
        <v>203</v>
      </c>
      <c r="B204" s="174">
        <v>9701423.8099999987</v>
      </c>
      <c r="C204" s="189">
        <v>738980.26</v>
      </c>
      <c r="D204" s="174">
        <v>0</v>
      </c>
      <c r="E204" s="175">
        <v>10440404.069999998</v>
      </c>
    </row>
    <row r="205" spans="1:8" ht="12.65" customHeight="1" x14ac:dyDescent="0.35">
      <c r="A205" s="173"/>
      <c r="B205" s="175"/>
      <c r="C205" s="191"/>
      <c r="D205" s="175"/>
      <c r="E205" s="175"/>
    </row>
    <row r="206" spans="1:8" ht="12.65" customHeight="1" x14ac:dyDescent="0.35">
      <c r="A206" s="173" t="s">
        <v>341</v>
      </c>
      <c r="B206" s="173"/>
      <c r="C206" s="191"/>
      <c r="D206" s="175"/>
      <c r="E206" s="175"/>
    </row>
    <row r="207" spans="1:8" ht="12.65" customHeight="1" x14ac:dyDescent="0.35">
      <c r="A207" s="207"/>
      <c r="B207" s="207" t="s">
        <v>328</v>
      </c>
      <c r="C207" s="207" t="s">
        <v>329</v>
      </c>
      <c r="D207" s="207" t="s">
        <v>330</v>
      </c>
      <c r="E207" s="207" t="s">
        <v>331</v>
      </c>
    </row>
    <row r="208" spans="1:8" ht="12.65" customHeight="1" x14ac:dyDescent="0.35">
      <c r="A208" s="171" t="s">
        <v>332</v>
      </c>
      <c r="B208" s="170"/>
      <c r="C208" s="182"/>
      <c r="D208" s="170"/>
      <c r="E208" s="170"/>
      <c r="H208" s="258"/>
    </row>
    <row r="209" spans="1:8" ht="12.65" customHeight="1" x14ac:dyDescent="0.35">
      <c r="A209" s="173" t="s">
        <v>333</v>
      </c>
      <c r="B209" s="178">
        <v>66.39</v>
      </c>
      <c r="C209" s="193">
        <v>796.66</v>
      </c>
      <c r="D209" s="178"/>
      <c r="E209" s="175">
        <v>863.05</v>
      </c>
      <c r="H209" s="258"/>
    </row>
    <row r="210" spans="1:8" ht="12.65" customHeight="1" x14ac:dyDescent="0.35">
      <c r="A210" s="173" t="s">
        <v>334</v>
      </c>
      <c r="B210" s="174">
        <v>622019.15</v>
      </c>
      <c r="C210" s="189">
        <v>421477.5</v>
      </c>
      <c r="D210" s="174"/>
      <c r="E210" s="175">
        <v>1043496.65</v>
      </c>
      <c r="H210" s="258"/>
    </row>
    <row r="211" spans="1:8" ht="12.65" customHeight="1" x14ac:dyDescent="0.35">
      <c r="A211" s="173" t="s">
        <v>335</v>
      </c>
      <c r="B211" s="174"/>
      <c r="C211" s="189"/>
      <c r="D211" s="174"/>
      <c r="E211" s="175">
        <v>0</v>
      </c>
      <c r="H211" s="258"/>
    </row>
    <row r="212" spans="1:8" ht="12.65" customHeight="1" x14ac:dyDescent="0.35">
      <c r="A212" s="173" t="s">
        <v>336</v>
      </c>
      <c r="B212" s="174"/>
      <c r="C212" s="189"/>
      <c r="D212" s="174"/>
      <c r="E212" s="175">
        <v>0</v>
      </c>
      <c r="H212" s="258"/>
    </row>
    <row r="213" spans="1:8" ht="12.65" customHeight="1" x14ac:dyDescent="0.35">
      <c r="A213" s="173" t="s">
        <v>337</v>
      </c>
      <c r="B213" s="174">
        <v>632290.80000000005</v>
      </c>
      <c r="C213" s="189">
        <v>359157.35</v>
      </c>
      <c r="D213" s="174"/>
      <c r="E213" s="175">
        <v>991448.15</v>
      </c>
      <c r="H213" s="258"/>
    </row>
    <row r="214" spans="1:8" ht="12.65" customHeight="1" x14ac:dyDescent="0.35">
      <c r="A214" s="173" t="s">
        <v>338</v>
      </c>
      <c r="B214" s="174">
        <v>-103276.36</v>
      </c>
      <c r="C214" s="189">
        <v>74899.459999999992</v>
      </c>
      <c r="D214" s="174"/>
      <c r="E214" s="175">
        <v>-28376.900000000009</v>
      </c>
      <c r="H214" s="258"/>
    </row>
    <row r="215" spans="1:8" ht="12.65" customHeight="1" x14ac:dyDescent="0.35">
      <c r="A215" s="173" t="s">
        <v>339</v>
      </c>
      <c r="B215" s="174"/>
      <c r="C215" s="189"/>
      <c r="D215" s="174"/>
      <c r="E215" s="175">
        <v>0</v>
      </c>
      <c r="H215" s="258"/>
    </row>
    <row r="216" spans="1:8" ht="12.65" customHeight="1" x14ac:dyDescent="0.35">
      <c r="A216" s="173" t="s">
        <v>340</v>
      </c>
      <c r="B216" s="174"/>
      <c r="C216" s="189"/>
      <c r="D216" s="174"/>
      <c r="E216" s="175">
        <v>0</v>
      </c>
      <c r="H216" s="258"/>
    </row>
    <row r="217" spans="1:8" ht="12.65" customHeight="1" x14ac:dyDescent="0.35">
      <c r="A217" s="173" t="s">
        <v>203</v>
      </c>
      <c r="B217" s="174">
        <v>1151099.98</v>
      </c>
      <c r="C217" s="189">
        <v>856330.97</v>
      </c>
      <c r="D217" s="174">
        <v>0</v>
      </c>
      <c r="E217" s="175">
        <v>2007430.9500000002</v>
      </c>
      <c r="H217" s="258"/>
    </row>
    <row r="218" spans="1:8" ht="12.65" customHeight="1" x14ac:dyDescent="0.35">
      <c r="A218" s="173"/>
      <c r="B218" s="175"/>
      <c r="C218" s="191"/>
      <c r="D218" s="175"/>
      <c r="E218" s="175"/>
    </row>
    <row r="219" spans="1:8" ht="21.75" customHeight="1" x14ac:dyDescent="0.35">
      <c r="A219" s="173" t="s">
        <v>342</v>
      </c>
      <c r="B219" s="175"/>
      <c r="C219" s="191"/>
      <c r="D219" s="175"/>
      <c r="E219" s="175"/>
    </row>
    <row r="220" spans="1:8" ht="12.65" customHeight="1" x14ac:dyDescent="0.35">
      <c r="A220" s="208"/>
      <c r="B220" s="208" t="s">
        <v>1255</v>
      </c>
      <c r="C220" s="208"/>
      <c r="D220" s="208"/>
      <c r="E220" s="208"/>
    </row>
    <row r="221" spans="1:8" ht="12.65" customHeight="1" x14ac:dyDescent="0.35">
      <c r="A221" s="256" t="s">
        <v>1255</v>
      </c>
      <c r="B221" s="256"/>
      <c r="C221" s="256">
        <v>203580</v>
      </c>
      <c r="D221" s="256">
        <v>203580</v>
      </c>
      <c r="E221" s="256"/>
    </row>
    <row r="222" spans="1:8" ht="12.65" customHeight="1" x14ac:dyDescent="0.35">
      <c r="A222" s="173" t="s">
        <v>343</v>
      </c>
      <c r="B222" s="172"/>
      <c r="C222" s="189"/>
      <c r="D222" s="175"/>
      <c r="E222" s="175"/>
    </row>
    <row r="223" spans="1:8" ht="12.65" customHeight="1" x14ac:dyDescent="0.35">
      <c r="A223" s="173" t="s">
        <v>344</v>
      </c>
      <c r="B223" s="172" t="s">
        <v>256</v>
      </c>
      <c r="C223" s="189">
        <v>14308681.33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55807444.25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1469077.4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440966.23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5" t="s">
        <v>256</v>
      </c>
      <c r="C228" s="191">
        <v>24346192.780000001</v>
      </c>
      <c r="D228" s="175"/>
      <c r="E228" s="175"/>
    </row>
    <row r="229" spans="1:5" ht="12.65" customHeight="1" x14ac:dyDescent="0.35">
      <c r="A229" s="256" t="s">
        <v>350</v>
      </c>
      <c r="B229" s="256"/>
      <c r="C229" s="256"/>
      <c r="D229" s="256">
        <v>96372361.99000001</v>
      </c>
      <c r="E229" s="256"/>
    </row>
    <row r="230" spans="1:5" ht="12.65" customHeight="1" x14ac:dyDescent="0.35">
      <c r="A230" s="171" t="s">
        <v>351</v>
      </c>
      <c r="B230" s="172"/>
      <c r="C230" s="189"/>
      <c r="D230" s="175"/>
      <c r="E230" s="175"/>
    </row>
    <row r="231" spans="1:5" ht="12.65" customHeight="1" x14ac:dyDescent="0.35">
      <c r="A231" s="171" t="s">
        <v>352</v>
      </c>
      <c r="B231" s="172" t="s">
        <v>256</v>
      </c>
      <c r="C231" s="191"/>
      <c r="D231" s="175"/>
      <c r="E231" s="175"/>
    </row>
    <row r="232" spans="1:5" ht="12.65" customHeight="1" x14ac:dyDescent="0.35">
      <c r="A232" s="171"/>
      <c r="B232" s="172"/>
      <c r="C232" s="189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69524</v>
      </c>
      <c r="D233" s="175"/>
      <c r="E233" s="175"/>
    </row>
    <row r="234" spans="1:5" ht="12.65" customHeight="1" x14ac:dyDescent="0.35">
      <c r="A234" s="173" t="s">
        <v>354</v>
      </c>
      <c r="B234" s="175" t="s">
        <v>256</v>
      </c>
      <c r="C234" s="191">
        <v>254040</v>
      </c>
      <c r="D234" s="175"/>
      <c r="E234" s="175"/>
    </row>
    <row r="235" spans="1:5" ht="12.65" customHeight="1" x14ac:dyDescent="0.35">
      <c r="A235" s="171"/>
      <c r="B235" s="175"/>
      <c r="C235" s="191"/>
      <c r="D235" s="175"/>
      <c r="E235" s="175"/>
    </row>
    <row r="236" spans="1:5" ht="12.65" customHeight="1" x14ac:dyDescent="0.35">
      <c r="A236" s="256" t="s">
        <v>355</v>
      </c>
      <c r="B236" s="256"/>
      <c r="C236" s="256"/>
      <c r="D236" s="256">
        <v>323564</v>
      </c>
      <c r="E236" s="256"/>
    </row>
    <row r="237" spans="1:5" ht="12.65" customHeight="1" x14ac:dyDescent="0.35">
      <c r="A237" s="173" t="s">
        <v>356</v>
      </c>
      <c r="B237" s="172"/>
      <c r="C237" s="189"/>
      <c r="D237" s="175"/>
      <c r="E237" s="175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5" t="s">
        <v>256</v>
      </c>
      <c r="C239" s="191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3"/>
      <c r="C242" s="191"/>
      <c r="D242" s="175">
        <v>96899505.99000001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208"/>
      <c r="B247" s="208"/>
      <c r="C247" s="208"/>
      <c r="D247" s="208"/>
      <c r="E247" s="208"/>
    </row>
    <row r="248" spans="1:5" ht="11.25" customHeight="1" x14ac:dyDescent="0.35">
      <c r="A248" s="256" t="s">
        <v>360</v>
      </c>
      <c r="B248" s="256"/>
      <c r="C248" s="256"/>
      <c r="D248" s="256"/>
      <c r="E248" s="256"/>
    </row>
    <row r="249" spans="1:5" ht="12.65" customHeight="1" x14ac:dyDescent="0.35">
      <c r="A249" s="173" t="s">
        <v>361</v>
      </c>
      <c r="B249" s="172"/>
      <c r="C249" s="189"/>
      <c r="D249" s="175"/>
      <c r="E249" s="175"/>
    </row>
    <row r="250" spans="1:5" ht="12.65" customHeight="1" x14ac:dyDescent="0.35">
      <c r="A250" s="173" t="s">
        <v>362</v>
      </c>
      <c r="B250" s="172" t="s">
        <v>256</v>
      </c>
      <c r="C250" s="189">
        <v>-333274.87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1610939.79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46895731.57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33395221.149999999</v>
      </c>
      <c r="D253" s="175"/>
      <c r="E253" s="175"/>
    </row>
    <row r="254" spans="1:5" ht="12.65" customHeight="1" x14ac:dyDescent="0.35">
      <c r="A254" s="173" t="s">
        <v>1241</v>
      </c>
      <c r="B254" s="172" t="s">
        <v>256</v>
      </c>
      <c r="C254" s="189">
        <v>34889.410000000003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488426.16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442579.17</v>
      </c>
      <c r="D258" s="175"/>
      <c r="E258" s="175"/>
    </row>
    <row r="259" spans="1:5" ht="12.65" customHeight="1" x14ac:dyDescent="0.35">
      <c r="A259" s="173" t="s">
        <v>370</v>
      </c>
      <c r="B259" s="175" t="s">
        <v>256</v>
      </c>
      <c r="C259" s="191"/>
      <c r="D259" s="175"/>
      <c r="E259" s="175"/>
    </row>
    <row r="260" spans="1:5" ht="11.25" customHeight="1" x14ac:dyDescent="0.35">
      <c r="A260" s="256" t="s">
        <v>371</v>
      </c>
      <c r="B260" s="256"/>
      <c r="C260" s="256"/>
      <c r="D260" s="256">
        <v>15744070.080000004</v>
      </c>
      <c r="E260" s="256"/>
    </row>
    <row r="261" spans="1:5" ht="12.65" customHeight="1" x14ac:dyDescent="0.35">
      <c r="A261" s="173" t="s">
        <v>372</v>
      </c>
      <c r="B261" s="172"/>
      <c r="C261" s="189"/>
      <c r="D261" s="175"/>
      <c r="E261" s="175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5" t="s">
        <v>256</v>
      </c>
      <c r="C264" s="191"/>
      <c r="D264" s="175"/>
      <c r="E264" s="175"/>
    </row>
    <row r="265" spans="1:5" ht="11.25" customHeight="1" x14ac:dyDescent="0.35">
      <c r="A265" s="256" t="s">
        <v>374</v>
      </c>
      <c r="B265" s="256"/>
      <c r="C265" s="256"/>
      <c r="D265" s="256">
        <v>0</v>
      </c>
      <c r="E265" s="256"/>
    </row>
    <row r="266" spans="1:5" ht="12.65" customHeight="1" x14ac:dyDescent="0.35">
      <c r="A266" s="173" t="s">
        <v>375</v>
      </c>
      <c r="B266" s="172"/>
      <c r="C266" s="189"/>
      <c r="D266" s="175"/>
      <c r="E266" s="175"/>
    </row>
    <row r="267" spans="1:5" ht="12.65" customHeight="1" x14ac:dyDescent="0.35">
      <c r="A267" s="173" t="s">
        <v>332</v>
      </c>
      <c r="B267" s="172" t="s">
        <v>256</v>
      </c>
      <c r="C267" s="189">
        <v>550000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26952.880000000001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6744017.4899999993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82396.7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1829837.22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5" t="s">
        <v>256</v>
      </c>
      <c r="C274" s="191">
        <v>1207199.78</v>
      </c>
      <c r="D274" s="175"/>
      <c r="E274" s="175"/>
    </row>
    <row r="275" spans="1:5" ht="12.65" customHeight="1" x14ac:dyDescent="0.35">
      <c r="A275" s="173" t="s">
        <v>379</v>
      </c>
      <c r="B275" s="172"/>
      <c r="C275" s="189"/>
      <c r="D275" s="175">
        <v>10440404.069999998</v>
      </c>
      <c r="E275" s="175"/>
    </row>
    <row r="276" spans="1:5" ht="12.65" customHeight="1" x14ac:dyDescent="0.35">
      <c r="A276" s="173" t="s">
        <v>380</v>
      </c>
      <c r="B276" s="175" t="s">
        <v>256</v>
      </c>
      <c r="C276" s="191">
        <v>2007430.95</v>
      </c>
      <c r="D276" s="175"/>
      <c r="E276" s="175"/>
    </row>
    <row r="277" spans="1:5" ht="12.65" customHeight="1" x14ac:dyDescent="0.35">
      <c r="A277" s="256" t="s">
        <v>381</v>
      </c>
      <c r="B277" s="256"/>
      <c r="C277" s="256"/>
      <c r="D277" s="256">
        <v>8432973.1199999992</v>
      </c>
      <c r="E277" s="256"/>
    </row>
    <row r="278" spans="1:5" ht="12.65" customHeight="1" x14ac:dyDescent="0.35">
      <c r="A278" s="173" t="s">
        <v>382</v>
      </c>
      <c r="B278" s="172"/>
      <c r="C278" s="189"/>
      <c r="D278" s="175"/>
      <c r="E278" s="175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5" t="s">
        <v>256</v>
      </c>
      <c r="C282" s="191">
        <v>761942.2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v>761942.2</v>
      </c>
      <c r="E283" s="175"/>
    </row>
    <row r="284" spans="1:5" ht="12.65" customHeight="1" x14ac:dyDescent="0.35">
      <c r="A284" s="256"/>
      <c r="B284" s="256"/>
      <c r="C284" s="256"/>
      <c r="D284" s="256"/>
      <c r="E284" s="256"/>
    </row>
    <row r="285" spans="1:5" ht="12.65" customHeight="1" x14ac:dyDescent="0.35">
      <c r="A285" s="173" t="s">
        <v>387</v>
      </c>
      <c r="B285" s="172"/>
      <c r="C285" s="189"/>
      <c r="D285" s="175"/>
      <c r="E285" s="175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5" t="s">
        <v>256</v>
      </c>
      <c r="C289" s="191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3"/>
      <c r="C292" s="191"/>
      <c r="D292" s="175">
        <v>24938985.400000002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/>
      <c r="B301" s="208"/>
      <c r="C301" s="208"/>
      <c r="D301" s="208"/>
      <c r="E301" s="208"/>
    </row>
    <row r="302" spans="1:5" ht="14.25" customHeight="1" x14ac:dyDescent="0.35">
      <c r="A302" s="256" t="s">
        <v>394</v>
      </c>
      <c r="B302" s="256"/>
      <c r="C302" s="256"/>
      <c r="D302" s="256"/>
      <c r="E302" s="256"/>
    </row>
    <row r="303" spans="1:5" ht="12.65" customHeight="1" x14ac:dyDescent="0.35">
      <c r="A303" s="173" t="s">
        <v>395</v>
      </c>
      <c r="B303" s="172"/>
      <c r="C303" s="189"/>
      <c r="D303" s="175"/>
      <c r="E303" s="175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1961253.61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-1329418.17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832209.57</v>
      </c>
      <c r="D312" s="175"/>
      <c r="E312" s="175"/>
    </row>
    <row r="313" spans="1:5" ht="12.65" customHeight="1" x14ac:dyDescent="0.35">
      <c r="A313" s="173" t="s">
        <v>404</v>
      </c>
      <c r="B313" s="175" t="s">
        <v>256</v>
      </c>
      <c r="C313" s="191"/>
      <c r="D313" s="175"/>
      <c r="E313" s="175"/>
    </row>
    <row r="314" spans="1:5" ht="12.65" customHeight="1" x14ac:dyDescent="0.35">
      <c r="A314" s="256" t="s">
        <v>405</v>
      </c>
      <c r="B314" s="256"/>
      <c r="C314" s="256"/>
      <c r="D314" s="256">
        <v>1464045.0100000002</v>
      </c>
      <c r="E314" s="256"/>
    </row>
    <row r="315" spans="1:5" ht="12.65" customHeight="1" x14ac:dyDescent="0.35">
      <c r="A315" s="173" t="s">
        <v>406</v>
      </c>
      <c r="B315" s="172"/>
      <c r="C315" s="189"/>
      <c r="D315" s="175"/>
      <c r="E315" s="175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5" t="s">
        <v>256</v>
      </c>
      <c r="C318" s="191"/>
      <c r="D318" s="175"/>
      <c r="E318" s="175"/>
    </row>
    <row r="319" spans="1:5" ht="12.65" customHeight="1" x14ac:dyDescent="0.35">
      <c r="A319" s="256" t="s">
        <v>410</v>
      </c>
      <c r="B319" s="256"/>
      <c r="C319" s="256"/>
      <c r="D319" s="256">
        <v>0</v>
      </c>
      <c r="E319" s="256"/>
    </row>
    <row r="320" spans="1:5" ht="12.65" customHeight="1" x14ac:dyDescent="0.35">
      <c r="A320" s="173" t="s">
        <v>411</v>
      </c>
      <c r="B320" s="172"/>
      <c r="C320" s="189"/>
      <c r="D320" s="175"/>
      <c r="E320" s="175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414</v>
      </c>
      <c r="B323" s="172" t="s">
        <v>256</v>
      </c>
      <c r="C323" s="189">
        <v>804283.53</v>
      </c>
      <c r="D323" s="175"/>
      <c r="E323" s="175"/>
    </row>
    <row r="324" spans="1:5" ht="12.65" customHeight="1" x14ac:dyDescent="0.35">
      <c r="A324" s="173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416</v>
      </c>
      <c r="B325" s="172" t="s">
        <v>256</v>
      </c>
      <c r="C325" s="189">
        <v>10436306.119999999</v>
      </c>
      <c r="D325" s="175"/>
      <c r="E325" s="175"/>
    </row>
    <row r="326" spans="1:5" ht="12.65" customHeight="1" x14ac:dyDescent="0.35">
      <c r="A326" s="173" t="s">
        <v>417</v>
      </c>
      <c r="B326" s="172" t="s">
        <v>256</v>
      </c>
      <c r="C326" s="189">
        <v>24665963.809999999</v>
      </c>
      <c r="D326" s="175"/>
      <c r="E326" s="175"/>
    </row>
    <row r="327" spans="1:5" ht="19.5" customHeight="1" x14ac:dyDescent="0.35">
      <c r="A327" s="173" t="s">
        <v>418</v>
      </c>
      <c r="B327" s="175" t="s">
        <v>256</v>
      </c>
      <c r="C327" s="191"/>
      <c r="D327" s="175"/>
      <c r="E327" s="175"/>
    </row>
    <row r="328" spans="1:5" ht="12.65" customHeight="1" x14ac:dyDescent="0.35">
      <c r="A328" s="173" t="s">
        <v>203</v>
      </c>
      <c r="B328" s="175"/>
      <c r="C328" s="191"/>
      <c r="D328" s="175">
        <v>35906553.459999993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v>35906553.459999993</v>
      </c>
      <c r="E330" s="175"/>
    </row>
    <row r="331" spans="1:5" ht="12.65" customHeight="1" x14ac:dyDescent="0.35">
      <c r="A331" s="173"/>
      <c r="B331" s="172"/>
      <c r="C331" s="222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9"/>
      <c r="D332" s="175"/>
      <c r="E332" s="175"/>
    </row>
    <row r="333" spans="1:5" ht="12.65" customHeight="1" x14ac:dyDescent="0.35">
      <c r="A333" s="173"/>
      <c r="B333" s="172"/>
      <c r="C333" s="22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-12431613.07</v>
      </c>
      <c r="D337" s="175"/>
      <c r="E337" s="175"/>
    </row>
    <row r="338" spans="1:5" ht="12.65" customHeight="1" x14ac:dyDescent="0.35">
      <c r="A338" s="173" t="s">
        <v>1253</v>
      </c>
      <c r="B338" s="175" t="s">
        <v>256</v>
      </c>
      <c r="C338" s="191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v>24938985.399999991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3"/>
      <c r="C341" s="191"/>
      <c r="D341" s="175">
        <v>24938985.400000002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/>
      <c r="B356" s="208"/>
      <c r="C356" s="208"/>
      <c r="D356" s="208"/>
      <c r="E356" s="208"/>
    </row>
    <row r="357" spans="1:5" ht="12.65" customHeight="1" x14ac:dyDescent="0.35">
      <c r="A357" s="256" t="s">
        <v>426</v>
      </c>
      <c r="B357" s="256"/>
      <c r="C357" s="256"/>
      <c r="D357" s="256"/>
      <c r="E357" s="256"/>
    </row>
    <row r="358" spans="1:5" ht="12.65" customHeight="1" x14ac:dyDescent="0.35">
      <c r="A358" s="173" t="s">
        <v>427</v>
      </c>
      <c r="B358" s="172"/>
      <c r="C358" s="189"/>
      <c r="D358" s="175"/>
      <c r="E358" s="175"/>
    </row>
    <row r="359" spans="1:5" ht="12.65" customHeight="1" x14ac:dyDescent="0.35">
      <c r="A359" s="173" t="s">
        <v>428</v>
      </c>
      <c r="B359" s="172" t="s">
        <v>256</v>
      </c>
      <c r="C359" s="189">
        <v>37895331.960000001</v>
      </c>
      <c r="D359" s="175"/>
      <c r="E359" s="175"/>
    </row>
    <row r="360" spans="1:5" ht="12.65" customHeight="1" x14ac:dyDescent="0.35">
      <c r="A360" s="173" t="s">
        <v>429</v>
      </c>
      <c r="B360" s="175" t="s">
        <v>256</v>
      </c>
      <c r="C360" s="191">
        <v>78466779.439999998</v>
      </c>
      <c r="D360" s="175"/>
      <c r="E360" s="175"/>
    </row>
    <row r="361" spans="1:5" ht="12.65" customHeight="1" x14ac:dyDescent="0.35">
      <c r="A361" s="256" t="s">
        <v>430</v>
      </c>
      <c r="B361" s="256"/>
      <c r="C361" s="256"/>
      <c r="D361" s="256">
        <v>116362111.40000001</v>
      </c>
      <c r="E361" s="256"/>
    </row>
    <row r="362" spans="1:5" ht="12.65" customHeight="1" x14ac:dyDescent="0.35">
      <c r="A362" s="173" t="s">
        <v>431</v>
      </c>
      <c r="B362" s="172"/>
      <c r="C362" s="189"/>
      <c r="D362" s="175"/>
      <c r="E362" s="175"/>
    </row>
    <row r="363" spans="1:5" ht="12.65" customHeight="1" x14ac:dyDescent="0.35">
      <c r="A363" s="173" t="s">
        <v>1255</v>
      </c>
      <c r="B363" s="172"/>
      <c r="C363" s="189">
        <v>203580.24</v>
      </c>
      <c r="D363" s="175"/>
      <c r="E363" s="175"/>
    </row>
    <row r="364" spans="1:5" ht="12.65" customHeight="1" x14ac:dyDescent="0.35">
      <c r="A364" s="173" t="s">
        <v>432</v>
      </c>
      <c r="B364" s="172" t="s">
        <v>256</v>
      </c>
      <c r="C364" s="189">
        <v>96372361.939999998</v>
      </c>
      <c r="D364" s="175"/>
      <c r="E364" s="175"/>
    </row>
    <row r="365" spans="1:5" ht="12.65" customHeight="1" x14ac:dyDescent="0.35">
      <c r="A365" s="173" t="s">
        <v>433</v>
      </c>
      <c r="B365" s="175" t="s">
        <v>256</v>
      </c>
      <c r="C365" s="191">
        <v>323563.57</v>
      </c>
      <c r="D365" s="175"/>
      <c r="E365" s="175"/>
    </row>
    <row r="366" spans="1:5" ht="12.65" customHeight="1" x14ac:dyDescent="0.35">
      <c r="A366" s="173" t="s">
        <v>434</v>
      </c>
      <c r="B366" s="175" t="s">
        <v>256</v>
      </c>
      <c r="C366" s="191"/>
      <c r="D366" s="175"/>
      <c r="E366" s="175"/>
    </row>
    <row r="367" spans="1:5" ht="12.65" customHeight="1" x14ac:dyDescent="0.35">
      <c r="A367" s="256" t="s">
        <v>359</v>
      </c>
      <c r="B367" s="256"/>
      <c r="C367" s="256"/>
      <c r="D367" s="256">
        <v>96899505.749999985</v>
      </c>
      <c r="E367" s="256"/>
    </row>
    <row r="368" spans="1:5" ht="12.65" customHeight="1" x14ac:dyDescent="0.35">
      <c r="A368" s="173" t="s">
        <v>435</v>
      </c>
      <c r="B368" s="172"/>
      <c r="C368" s="189"/>
      <c r="D368" s="175">
        <v>19462605.650000021</v>
      </c>
      <c r="E368" s="175"/>
    </row>
    <row r="369" spans="1:5" ht="12.65" customHeight="1" x14ac:dyDescent="0.35">
      <c r="A369" s="173" t="s">
        <v>436</v>
      </c>
      <c r="B369" s="172"/>
      <c r="C369" s="189"/>
      <c r="D369" s="175"/>
      <c r="E369" s="175"/>
    </row>
    <row r="370" spans="1:5" ht="12.65" customHeight="1" x14ac:dyDescent="0.35">
      <c r="A370" s="173" t="s">
        <v>437</v>
      </c>
      <c r="B370" s="175" t="s">
        <v>256</v>
      </c>
      <c r="C370" s="191">
        <v>529626.88</v>
      </c>
      <c r="D370" s="175"/>
      <c r="E370" s="175"/>
    </row>
    <row r="371" spans="1:5" ht="12.65" customHeight="1" x14ac:dyDescent="0.35">
      <c r="A371" s="173" t="s">
        <v>438</v>
      </c>
      <c r="B371" s="175" t="s">
        <v>256</v>
      </c>
      <c r="C371" s="191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v>529626.88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v>19992232.53000002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6"/>
      <c r="B375" s="256"/>
      <c r="C375" s="256"/>
      <c r="D375" s="256"/>
      <c r="E375" s="256"/>
    </row>
    <row r="376" spans="1:5" ht="12.65" customHeight="1" x14ac:dyDescent="0.35">
      <c r="A376" s="173"/>
      <c r="B376" s="172"/>
      <c r="C376" s="189"/>
      <c r="D376" s="175"/>
      <c r="E376" s="175"/>
    </row>
    <row r="377" spans="1:5" ht="12.65" customHeight="1" x14ac:dyDescent="0.35">
      <c r="A377" s="173" t="s">
        <v>441</v>
      </c>
      <c r="B377" s="172"/>
      <c r="C377" s="189"/>
      <c r="D377" s="175"/>
      <c r="E377" s="175"/>
    </row>
    <row r="378" spans="1:5" ht="12.65" customHeight="1" x14ac:dyDescent="0.35">
      <c r="A378" s="173" t="s">
        <v>442</v>
      </c>
      <c r="B378" s="172" t="s">
        <v>256</v>
      </c>
      <c r="C378" s="189">
        <v>10317197.050000001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1678518.44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2122158.13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1837354.45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424774.79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5938813.6799999997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1477526.45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236372.93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158948.38</v>
      </c>
      <c r="D386" s="175"/>
      <c r="E386" s="175"/>
    </row>
    <row r="387" spans="1:6" ht="12.65" customHeight="1" x14ac:dyDescent="0.35">
      <c r="A387" s="171" t="s">
        <v>448</v>
      </c>
      <c r="B387" s="172" t="s">
        <v>256</v>
      </c>
      <c r="C387" s="189">
        <v>29832.95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-381749.15</v>
      </c>
      <c r="D388" s="175"/>
      <c r="E388" s="175"/>
    </row>
    <row r="389" spans="1:6" ht="12.65" customHeight="1" x14ac:dyDescent="0.35">
      <c r="A389" s="173" t="s">
        <v>451</v>
      </c>
      <c r="B389" s="175" t="s">
        <v>256</v>
      </c>
      <c r="C389" s="191">
        <v>1559517.47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v>25399265.569999997</v>
      </c>
      <c r="E390" s="175"/>
    </row>
    <row r="391" spans="1:6" ht="12.65" customHeight="1" x14ac:dyDescent="0.35">
      <c r="A391" s="173" t="s">
        <v>453</v>
      </c>
      <c r="B391" s="172"/>
      <c r="C391" s="189"/>
      <c r="D391" s="175">
        <v>-5407033.0399999768</v>
      </c>
      <c r="E391" s="175"/>
    </row>
    <row r="392" spans="1:6" ht="12.65" customHeight="1" x14ac:dyDescent="0.35">
      <c r="A392" s="173" t="s">
        <v>454</v>
      </c>
      <c r="B392" s="175" t="s">
        <v>256</v>
      </c>
      <c r="C392" s="191"/>
      <c r="D392" s="195"/>
      <c r="E392" s="175"/>
      <c r="F392" s="197"/>
    </row>
    <row r="393" spans="1:6" ht="12.65" customHeight="1" x14ac:dyDescent="0.35">
      <c r="A393" s="173" t="s">
        <v>455</v>
      </c>
      <c r="B393" s="172"/>
      <c r="C393" s="189"/>
      <c r="D393" s="175">
        <v>-5407033.0399999768</v>
      </c>
      <c r="E393" s="175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5" t="s">
        <v>256</v>
      </c>
      <c r="C395" s="191"/>
      <c r="D395" s="175"/>
      <c r="E395" s="175"/>
    </row>
    <row r="396" spans="1:6" ht="13.5" customHeight="1" x14ac:dyDescent="0.35">
      <c r="A396" s="179" t="s">
        <v>458</v>
      </c>
      <c r="B396" s="179"/>
      <c r="D396" s="180">
        <v>-5407033.0399999768</v>
      </c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/>
      <c r="D410" s="179"/>
      <c r="E410" s="259"/>
    </row>
    <row r="411" spans="1:5" ht="12.65" customHeight="1" x14ac:dyDescent="0.35">
      <c r="A411" s="179"/>
      <c r="B411" s="179"/>
      <c r="C411" s="179" t="s">
        <v>459</v>
      </c>
      <c r="D411" s="179"/>
      <c r="E411" s="259"/>
    </row>
    <row r="412" spans="1:5" ht="12.65" customHeight="1" x14ac:dyDescent="0.35">
      <c r="A412" s="179" t="s">
        <v>1278</v>
      </c>
      <c r="B412" s="181"/>
      <c r="C412" s="181"/>
      <c r="D412" s="181"/>
    </row>
    <row r="413" spans="1:5" ht="12.65" customHeight="1" x14ac:dyDescent="0.35">
      <c r="A413" s="179" t="s">
        <v>460</v>
      </c>
      <c r="B413" s="179" t="s">
        <v>461</v>
      </c>
      <c r="C413" s="194" t="s">
        <v>1243</v>
      </c>
      <c r="D413" s="179" t="s">
        <v>462</v>
      </c>
    </row>
    <row r="414" spans="1:5" ht="12.65" customHeight="1" x14ac:dyDescent="0.35">
      <c r="A414" s="179" t="s">
        <v>463</v>
      </c>
      <c r="B414" s="179">
        <v>1396</v>
      </c>
      <c r="C414" s="179">
        <v>2037</v>
      </c>
      <c r="D414" s="194"/>
    </row>
    <row r="415" spans="1:5" ht="12.65" customHeight="1" x14ac:dyDescent="0.35">
      <c r="A415" s="179" t="s">
        <v>464</v>
      </c>
      <c r="B415" s="179">
        <v>7367</v>
      </c>
      <c r="C415" s="194">
        <v>7367</v>
      </c>
      <c r="D415" s="179">
        <v>6696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v>0</v>
      </c>
      <c r="C417" s="179">
        <v>0</v>
      </c>
      <c r="D417" s="179"/>
    </row>
    <row r="418" spans="1:7" ht="12.65" customHeight="1" x14ac:dyDescent="0.35">
      <c r="A418" s="179" t="s">
        <v>466</v>
      </c>
      <c r="B418" s="179">
        <v>0</v>
      </c>
      <c r="C418" s="194">
        <v>0</v>
      </c>
      <c r="D418" s="179">
        <v>0</v>
      </c>
    </row>
    <row r="419" spans="1:7" ht="12.65" customHeight="1" x14ac:dyDescent="0.35">
      <c r="A419" s="179"/>
      <c r="B419" s="179"/>
      <c r="C419" s="179"/>
      <c r="D419" s="179"/>
    </row>
    <row r="420" spans="1:7" ht="12.65" customHeight="1" x14ac:dyDescent="0.35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5">
      <c r="A421" s="206" t="s">
        <v>468</v>
      </c>
      <c r="B421" s="206">
        <v>0</v>
      </c>
      <c r="C421" s="181">
        <v>0</v>
      </c>
      <c r="D421" s="179">
        <v>0</v>
      </c>
    </row>
    <row r="423" spans="1:7" ht="12.65" customHeight="1" x14ac:dyDescent="0.35">
      <c r="A423" s="179" t="s">
        <v>469</v>
      </c>
      <c r="B423" s="179">
        <v>362</v>
      </c>
      <c r="D423" s="179"/>
    </row>
    <row r="424" spans="1:7" ht="12.65" customHeight="1" x14ac:dyDescent="0.35">
      <c r="A424" s="206" t="s">
        <v>1244</v>
      </c>
      <c r="B424" s="206">
        <v>429</v>
      </c>
      <c r="C424" s="206"/>
      <c r="D424" s="206">
        <v>429</v>
      </c>
      <c r="F424" s="206"/>
      <c r="G424" s="206"/>
    </row>
    <row r="425" spans="1:7" ht="12.65" customHeight="1" x14ac:dyDescent="0.35">
      <c r="A425" s="179"/>
      <c r="B425" s="181"/>
      <c r="C425" s="181"/>
      <c r="D425" s="181"/>
    </row>
    <row r="426" spans="1:7" ht="12.65" customHeight="1" x14ac:dyDescent="0.35">
      <c r="A426" s="179" t="s">
        <v>470</v>
      </c>
      <c r="B426" s="179" t="s">
        <v>471</v>
      </c>
      <c r="C426" s="179" t="s">
        <v>462</v>
      </c>
      <c r="D426" s="179" t="s">
        <v>472</v>
      </c>
    </row>
    <row r="427" spans="1:7" ht="12.65" customHeight="1" x14ac:dyDescent="0.35">
      <c r="A427" s="179" t="s">
        <v>473</v>
      </c>
      <c r="B427" s="179">
        <v>10317197.050000001</v>
      </c>
      <c r="C427" s="179">
        <v>10317197.050000001</v>
      </c>
      <c r="D427" s="179"/>
    </row>
    <row r="428" spans="1:7" ht="12.65" customHeight="1" x14ac:dyDescent="0.35">
      <c r="A428" s="179" t="s">
        <v>3</v>
      </c>
      <c r="B428" s="179">
        <v>1678518.44</v>
      </c>
      <c r="C428" s="179">
        <v>1678517</v>
      </c>
      <c r="D428" s="179">
        <v>1678518.44</v>
      </c>
    </row>
    <row r="429" spans="1:7" ht="12.65" customHeight="1" x14ac:dyDescent="0.35">
      <c r="A429" s="179" t="s">
        <v>236</v>
      </c>
      <c r="B429" s="179">
        <v>2122158.13</v>
      </c>
      <c r="C429" s="179">
        <v>2122158.16</v>
      </c>
      <c r="D429" s="179"/>
    </row>
    <row r="430" spans="1:7" ht="12.65" customHeight="1" x14ac:dyDescent="0.35">
      <c r="A430" s="179" t="s">
        <v>237</v>
      </c>
      <c r="B430" s="179">
        <v>1837354.45</v>
      </c>
      <c r="C430" s="179">
        <v>1837354.3900000004</v>
      </c>
      <c r="D430" s="179"/>
    </row>
    <row r="431" spans="1:7" ht="12.65" customHeight="1" x14ac:dyDescent="0.35">
      <c r="A431" s="179" t="s">
        <v>444</v>
      </c>
      <c r="B431" s="179">
        <v>424774.79</v>
      </c>
      <c r="C431" s="179">
        <v>424774.79</v>
      </c>
      <c r="D431" s="179"/>
    </row>
    <row r="432" spans="1:7" ht="12.65" customHeight="1" x14ac:dyDescent="0.35">
      <c r="A432" s="179" t="s">
        <v>445</v>
      </c>
      <c r="B432" s="179">
        <v>5938813.6799999997</v>
      </c>
      <c r="C432" s="179">
        <v>5938813.6800000025</v>
      </c>
      <c r="D432" s="179"/>
    </row>
    <row r="433" spans="1:7" ht="12.65" customHeight="1" x14ac:dyDescent="0.35">
      <c r="A433" s="179" t="s">
        <v>6</v>
      </c>
      <c r="B433" s="179">
        <v>1477526.45</v>
      </c>
      <c r="C433" s="179">
        <v>1477527</v>
      </c>
      <c r="D433" s="179">
        <v>856330.97</v>
      </c>
    </row>
    <row r="434" spans="1:7" ht="12.65" customHeight="1" x14ac:dyDescent="0.35">
      <c r="A434" s="179" t="s">
        <v>474</v>
      </c>
      <c r="B434" s="179">
        <v>236372.93</v>
      </c>
      <c r="C434" s="179">
        <v>236372.92999999996</v>
      </c>
      <c r="D434" s="179">
        <v>236372.93</v>
      </c>
    </row>
    <row r="435" spans="1:7" ht="12.65" customHeight="1" x14ac:dyDescent="0.35">
      <c r="A435" s="179" t="s">
        <v>447</v>
      </c>
      <c r="B435" s="179">
        <v>158948.38</v>
      </c>
      <c r="C435" s="179"/>
      <c r="D435" s="179">
        <v>158948.38</v>
      </c>
    </row>
    <row r="436" spans="1:7" ht="12.65" customHeight="1" x14ac:dyDescent="0.35">
      <c r="A436" s="194" t="s">
        <v>475</v>
      </c>
      <c r="B436" s="194">
        <v>29832.95</v>
      </c>
      <c r="C436" s="194"/>
      <c r="D436" s="194">
        <v>1146845.1400000001</v>
      </c>
    </row>
    <row r="437" spans="1:7" ht="12.65" customHeight="1" x14ac:dyDescent="0.35">
      <c r="A437" s="194" t="s">
        <v>449</v>
      </c>
      <c r="B437" s="194">
        <v>-381749.15</v>
      </c>
      <c r="C437" s="194"/>
      <c r="D437" s="194">
        <v>381749.15</v>
      </c>
    </row>
    <row r="438" spans="1:7" ht="12.65" customHeight="1" x14ac:dyDescent="0.35">
      <c r="A438" s="179" t="s">
        <v>476</v>
      </c>
      <c r="B438" s="179">
        <v>-192967.82</v>
      </c>
      <c r="C438" s="179">
        <v>0</v>
      </c>
      <c r="D438" s="179">
        <v>1687542.67</v>
      </c>
    </row>
    <row r="439" spans="1:7" ht="12.65" customHeight="1" x14ac:dyDescent="0.35">
      <c r="A439" s="179" t="s">
        <v>451</v>
      </c>
      <c r="B439" s="194">
        <v>1559517.47</v>
      </c>
      <c r="C439" s="194">
        <v>1559517.54</v>
      </c>
      <c r="D439" s="179"/>
    </row>
    <row r="440" spans="1:7" ht="12.65" customHeight="1" x14ac:dyDescent="0.35">
      <c r="A440" s="179" t="s">
        <v>477</v>
      </c>
      <c r="B440" s="194">
        <v>1366549.65</v>
      </c>
      <c r="C440" s="194">
        <v>1559517.54</v>
      </c>
      <c r="D440" s="179"/>
    </row>
    <row r="441" spans="1:7" ht="12.65" customHeight="1" x14ac:dyDescent="0.35">
      <c r="A441" s="179" t="s">
        <v>478</v>
      </c>
      <c r="B441" s="179">
        <v>25399265.569999997</v>
      </c>
      <c r="C441" s="179">
        <v>25592232.540000003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v>203580</v>
      </c>
      <c r="C444" s="179">
        <v>203580.24</v>
      </c>
      <c r="D444" s="179"/>
    </row>
    <row r="445" spans="1:7" ht="12.65" customHeight="1" x14ac:dyDescent="0.35">
      <c r="A445" s="179" t="s">
        <v>343</v>
      </c>
      <c r="B445" s="179">
        <v>96372361.99000001</v>
      </c>
      <c r="C445" s="179">
        <v>96372361.939999998</v>
      </c>
      <c r="D445" s="179"/>
    </row>
    <row r="446" spans="1:7" ht="12.65" customHeight="1" x14ac:dyDescent="0.35">
      <c r="A446" s="179" t="s">
        <v>351</v>
      </c>
      <c r="B446" s="179">
        <v>323564</v>
      </c>
      <c r="C446" s="179">
        <v>323563.57</v>
      </c>
      <c r="D446" s="179"/>
    </row>
    <row r="447" spans="1:7" ht="12.65" customHeight="1" x14ac:dyDescent="0.35">
      <c r="A447" s="179" t="s">
        <v>356</v>
      </c>
      <c r="B447" s="179">
        <v>0</v>
      </c>
      <c r="C447" s="179">
        <v>0</v>
      </c>
      <c r="D447" s="179"/>
    </row>
    <row r="448" spans="1:7" ht="12.65" customHeight="1" x14ac:dyDescent="0.35">
      <c r="A448" s="206" t="s">
        <v>358</v>
      </c>
      <c r="B448" s="206">
        <v>96899505.99000001</v>
      </c>
      <c r="C448" s="206">
        <v>96899505.749999985</v>
      </c>
      <c r="D448" s="206"/>
      <c r="F448" s="206"/>
      <c r="G448" s="206"/>
    </row>
    <row r="449" spans="1:7" ht="12.65" customHeight="1" x14ac:dyDescent="0.35">
      <c r="B449" s="181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</row>
    <row r="451" spans="1:7" ht="12.65" customHeight="1" x14ac:dyDescent="0.35">
      <c r="B451" s="181" t="s">
        <v>483</v>
      </c>
    </row>
    <row r="452" spans="1:7" ht="12.65" customHeight="1" x14ac:dyDescent="0.35">
      <c r="A452" s="199"/>
      <c r="B452" s="180" t="s">
        <v>472</v>
      </c>
    </row>
    <row r="453" spans="1:7" ht="12.65" customHeight="1" x14ac:dyDescent="0.35">
      <c r="A453" s="179" t="s">
        <v>484</v>
      </c>
      <c r="B453" s="179">
        <v>0</v>
      </c>
      <c r="C453" s="179"/>
      <c r="D453" s="179"/>
    </row>
    <row r="454" spans="1:7" ht="12.65" customHeight="1" x14ac:dyDescent="0.35">
      <c r="A454" s="179" t="s">
        <v>168</v>
      </c>
      <c r="B454" s="179">
        <v>69524</v>
      </c>
      <c r="C454" s="179"/>
      <c r="D454" s="179"/>
    </row>
    <row r="455" spans="1:7" ht="12.65" customHeight="1" x14ac:dyDescent="0.35">
      <c r="A455" s="206" t="s">
        <v>131</v>
      </c>
      <c r="B455" s="206">
        <v>254040</v>
      </c>
      <c r="C455" s="206"/>
      <c r="D455" s="206"/>
      <c r="F455" s="206"/>
      <c r="G455" s="206"/>
    </row>
    <row r="456" spans="1:7" ht="12.65" customHeight="1" x14ac:dyDescent="0.35">
      <c r="A456" s="179"/>
      <c r="B456" s="181"/>
      <c r="C456" s="181"/>
      <c r="D456" s="179"/>
    </row>
    <row r="457" spans="1:7" ht="12.65" customHeight="1" x14ac:dyDescent="0.35">
      <c r="A457" s="179" t="s">
        <v>485</v>
      </c>
      <c r="B457" s="194" t="s">
        <v>471</v>
      </c>
      <c r="C457" s="194" t="s">
        <v>486</v>
      </c>
      <c r="D457" s="194"/>
    </row>
    <row r="458" spans="1:7" ht="12.65" customHeight="1" x14ac:dyDescent="0.35">
      <c r="A458" s="179" t="s">
        <v>487</v>
      </c>
      <c r="B458" s="194">
        <v>529626.88</v>
      </c>
      <c r="C458" s="194">
        <v>0</v>
      </c>
      <c r="D458" s="194"/>
    </row>
    <row r="459" spans="1:7" ht="12.65" customHeight="1" x14ac:dyDescent="0.35">
      <c r="A459" s="206" t="s">
        <v>244</v>
      </c>
      <c r="B459" s="206">
        <v>0</v>
      </c>
      <c r="C459" s="206">
        <v>0</v>
      </c>
      <c r="D459" s="206"/>
      <c r="F459" s="206"/>
      <c r="G459" s="206"/>
    </row>
    <row r="460" spans="1:7" ht="12.65" customHeight="1" x14ac:dyDescent="0.35">
      <c r="A460" s="179"/>
      <c r="B460" s="181"/>
      <c r="C460" s="181"/>
      <c r="D460" s="181"/>
    </row>
    <row r="461" spans="1:7" ht="12.65" customHeight="1" x14ac:dyDescent="0.35">
      <c r="A461" s="180" t="s">
        <v>488</v>
      </c>
      <c r="B461" s="181"/>
      <c r="C461" s="181"/>
      <c r="D461" s="181" t="s">
        <v>1245</v>
      </c>
    </row>
    <row r="462" spans="1:7" ht="12.65" customHeight="1" x14ac:dyDescent="0.35">
      <c r="A462" s="179"/>
      <c r="B462" s="194" t="s">
        <v>471</v>
      </c>
      <c r="C462" s="194" t="s">
        <v>486</v>
      </c>
      <c r="D462" s="194" t="s">
        <v>490</v>
      </c>
    </row>
    <row r="463" spans="1:7" ht="12.65" customHeight="1" x14ac:dyDescent="0.35">
      <c r="A463" s="179" t="s">
        <v>245</v>
      </c>
      <c r="B463" s="194">
        <v>37895331.960000001</v>
      </c>
      <c r="C463" s="194">
        <v>37895331.959999993</v>
      </c>
      <c r="D463" s="194">
        <v>37895332</v>
      </c>
    </row>
    <row r="464" spans="1:7" ht="12.65" customHeight="1" x14ac:dyDescent="0.35">
      <c r="A464" s="179" t="s">
        <v>246</v>
      </c>
      <c r="B464" s="194">
        <v>78466779.439999998</v>
      </c>
      <c r="C464" s="194">
        <v>78466779.440000013</v>
      </c>
      <c r="D464" s="194">
        <v>78466779</v>
      </c>
    </row>
    <row r="465" spans="1:7" ht="12.65" customHeight="1" x14ac:dyDescent="0.35">
      <c r="A465" s="206" t="s">
        <v>247</v>
      </c>
      <c r="B465" s="206">
        <v>116362111.40000001</v>
      </c>
      <c r="C465" s="206">
        <v>116362111.40000001</v>
      </c>
      <c r="D465" s="206">
        <v>116362111</v>
      </c>
      <c r="F465" s="206"/>
      <c r="G465" s="206"/>
    </row>
    <row r="466" spans="1:7" ht="12.65" customHeight="1" x14ac:dyDescent="0.35">
      <c r="A466" s="179"/>
      <c r="B466" s="181"/>
      <c r="C466" s="181"/>
      <c r="D466" s="179"/>
    </row>
    <row r="467" spans="1:7" ht="12.65" customHeight="1" x14ac:dyDescent="0.35">
      <c r="A467" s="179" t="s">
        <v>491</v>
      </c>
      <c r="B467" s="179" t="s">
        <v>492</v>
      </c>
      <c r="C467" s="179" t="s">
        <v>493</v>
      </c>
      <c r="D467" s="179"/>
    </row>
    <row r="468" spans="1:7" ht="12.65" customHeight="1" x14ac:dyDescent="0.35">
      <c r="A468" s="179" t="s">
        <v>332</v>
      </c>
      <c r="B468" s="179">
        <v>550000</v>
      </c>
      <c r="C468" s="179">
        <v>550000</v>
      </c>
      <c r="D468" s="179"/>
    </row>
    <row r="469" spans="1:7" ht="12.65" customHeight="1" x14ac:dyDescent="0.35">
      <c r="A469" s="179" t="s">
        <v>333</v>
      </c>
      <c r="B469" s="179">
        <v>26952.880000000001</v>
      </c>
      <c r="C469" s="179">
        <v>26952.880000000001</v>
      </c>
      <c r="D469" s="179"/>
    </row>
    <row r="470" spans="1:7" ht="12.65" customHeight="1" x14ac:dyDescent="0.35">
      <c r="A470" s="179" t="s">
        <v>334</v>
      </c>
      <c r="B470" s="179">
        <v>6744017.4899999993</v>
      </c>
      <c r="C470" s="179">
        <v>6744017.4899999993</v>
      </c>
      <c r="D470" s="179"/>
    </row>
    <row r="471" spans="1:7" ht="12.65" customHeight="1" x14ac:dyDescent="0.35">
      <c r="A471" s="179" t="s">
        <v>494</v>
      </c>
      <c r="B471" s="179">
        <v>82396.7</v>
      </c>
      <c r="C471" s="179">
        <v>82396.7</v>
      </c>
      <c r="D471" s="179"/>
    </row>
    <row r="472" spans="1:7" ht="12.65" customHeight="1" x14ac:dyDescent="0.35">
      <c r="A472" s="179" t="s">
        <v>377</v>
      </c>
      <c r="B472" s="179">
        <v>0</v>
      </c>
      <c r="C472" s="179">
        <v>0</v>
      </c>
      <c r="D472" s="179"/>
    </row>
    <row r="473" spans="1:7" ht="12.65" customHeight="1" x14ac:dyDescent="0.35">
      <c r="A473" s="179" t="s">
        <v>495</v>
      </c>
      <c r="B473" s="179">
        <v>1829837.22</v>
      </c>
      <c r="C473" s="179">
        <v>1829837.22</v>
      </c>
      <c r="D473" s="179"/>
    </row>
    <row r="474" spans="1:7" ht="12.65" customHeight="1" x14ac:dyDescent="0.35">
      <c r="A474" s="179" t="s">
        <v>339</v>
      </c>
      <c r="B474" s="179">
        <v>0</v>
      </c>
      <c r="C474" s="179">
        <v>0</v>
      </c>
      <c r="D474" s="179"/>
    </row>
    <row r="475" spans="1:7" ht="12.65" customHeight="1" x14ac:dyDescent="0.35">
      <c r="A475" s="179" t="s">
        <v>340</v>
      </c>
      <c r="B475" s="179">
        <v>1207199.78</v>
      </c>
      <c r="C475" s="179">
        <v>1207199.78</v>
      </c>
      <c r="D475" s="179"/>
    </row>
    <row r="476" spans="1:7" ht="12.65" customHeight="1" x14ac:dyDescent="0.35">
      <c r="A476" s="179" t="s">
        <v>203</v>
      </c>
      <c r="B476" s="179">
        <v>10440404.069999998</v>
      </c>
      <c r="C476" s="179">
        <v>10440404.069999998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80" t="s">
        <v>496</v>
      </c>
      <c r="B478" s="180">
        <v>2007430.95</v>
      </c>
      <c r="C478" s="180">
        <v>2007430.9500000002</v>
      </c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v>24938985.400000002</v>
      </c>
    </row>
    <row r="482" spans="1:12" ht="12.65" customHeight="1" x14ac:dyDescent="0.35">
      <c r="A482" s="180" t="s">
        <v>499</v>
      </c>
      <c r="C482" s="180">
        <v>24938985.399999991</v>
      </c>
    </row>
    <row r="484" spans="1:12" ht="12.65" customHeight="1" x14ac:dyDescent="0.35">
      <c r="A484" s="199"/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8"/>
    </row>
    <row r="489" spans="1:12" ht="12.65" customHeight="1" x14ac:dyDescent="0.35">
      <c r="A489" s="199" t="s">
        <v>503</v>
      </c>
    </row>
    <row r="490" spans="1:12" ht="12.65" customHeight="1" x14ac:dyDescent="0.35">
      <c r="A490" s="199" t="s">
        <v>504</v>
      </c>
    </row>
    <row r="492" spans="1:12" ht="12.65" customHeight="1" x14ac:dyDescent="0.35">
      <c r="B492" s="260"/>
      <c r="C492" s="260"/>
      <c r="D492" s="260"/>
      <c r="E492" s="260"/>
      <c r="F492" s="260"/>
      <c r="G492" s="260"/>
      <c r="H492" s="260"/>
      <c r="K492" s="260"/>
      <c r="L492" s="260"/>
    </row>
    <row r="493" spans="1:12" ht="12.65" customHeight="1" x14ac:dyDescent="0.35">
      <c r="A493" s="198" t="s">
        <v>1268</v>
      </c>
      <c r="B493" s="181" t="s">
        <v>1279</v>
      </c>
      <c r="C493" s="181" t="s">
        <v>1280</v>
      </c>
      <c r="D493" s="261" t="s">
        <v>1279</v>
      </c>
      <c r="E493" s="261" t="s">
        <v>1280</v>
      </c>
      <c r="F493" s="260" t="s">
        <v>1279</v>
      </c>
      <c r="G493" s="260" t="s">
        <v>1280</v>
      </c>
      <c r="H493" s="260"/>
      <c r="K493" s="260"/>
      <c r="L493" s="260"/>
    </row>
    <row r="494" spans="1:12" ht="12.65" customHeight="1" x14ac:dyDescent="0.35">
      <c r="B494" s="181" t="s">
        <v>505</v>
      </c>
      <c r="C494" s="181" t="s">
        <v>505</v>
      </c>
      <c r="D494" s="181" t="s">
        <v>506</v>
      </c>
      <c r="E494" s="18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239" t="s">
        <v>303</v>
      </c>
      <c r="C495" s="239" t="s">
        <v>303</v>
      </c>
      <c r="D495" s="239" t="s">
        <v>509</v>
      </c>
      <c r="E495" s="180" t="s">
        <v>509</v>
      </c>
      <c r="F495" s="262" t="s">
        <v>510</v>
      </c>
      <c r="G495" s="263" t="s">
        <v>510</v>
      </c>
      <c r="H495" s="264" t="s">
        <v>511</v>
      </c>
      <c r="I495" s="266"/>
      <c r="K495" s="260"/>
      <c r="L495" s="260"/>
    </row>
    <row r="496" spans="1:12" ht="12.65" customHeight="1" x14ac:dyDescent="0.35">
      <c r="A496" s="180" t="s">
        <v>512</v>
      </c>
      <c r="B496" s="239">
        <v>278652.01</v>
      </c>
      <c r="C496" s="239">
        <v>831362.23999999987</v>
      </c>
      <c r="D496" s="239">
        <v>76</v>
      </c>
      <c r="E496" s="180">
        <v>187</v>
      </c>
      <c r="F496" s="262">
        <v>3666.473815789474</v>
      </c>
      <c r="G496" s="262">
        <v>4445.7873796791437</v>
      </c>
      <c r="H496" s="264" t="s">
        <v>1281</v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v>61.84</v>
      </c>
      <c r="C497" s="239">
        <v>0</v>
      </c>
      <c r="D497" s="239">
        <v>0</v>
      </c>
      <c r="E497" s="180">
        <v>0</v>
      </c>
      <c r="F497" s="262" t="s">
        <v>1281</v>
      </c>
      <c r="G497" s="262" t="s">
        <v>1281</v>
      </c>
      <c r="H497" s="264" t="s">
        <v>1281</v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v>449045.38999999996</v>
      </c>
      <c r="C498" s="239">
        <v>2317658.0599999996</v>
      </c>
      <c r="D498" s="239">
        <v>575</v>
      </c>
      <c r="E498" s="180">
        <v>2938</v>
      </c>
      <c r="F498" s="262">
        <v>780.94850434782597</v>
      </c>
      <c r="G498" s="262">
        <v>788.85570456092569</v>
      </c>
      <c r="H498" s="264" t="s">
        <v>1281</v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v>0</v>
      </c>
      <c r="C499" s="239">
        <v>0</v>
      </c>
      <c r="D499" s="239">
        <v>289</v>
      </c>
      <c r="E499" s="180">
        <v>0</v>
      </c>
      <c r="F499" s="262" t="s">
        <v>1281</v>
      </c>
      <c r="G499" s="262" t="s">
        <v>1281</v>
      </c>
      <c r="H499" s="264" t="s">
        <v>1281</v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v>0</v>
      </c>
      <c r="C500" s="239">
        <v>0</v>
      </c>
      <c r="D500" s="239">
        <v>0</v>
      </c>
      <c r="E500" s="180">
        <v>0</v>
      </c>
      <c r="F500" s="262" t="s">
        <v>1281</v>
      </c>
      <c r="G500" s="262" t="s">
        <v>1281</v>
      </c>
      <c r="H500" s="264" t="s">
        <v>1281</v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v>16553</v>
      </c>
      <c r="C501" s="239">
        <v>1542941.85</v>
      </c>
      <c r="D501" s="239">
        <v>0</v>
      </c>
      <c r="E501" s="180">
        <v>3571</v>
      </c>
      <c r="F501" s="262" t="s">
        <v>1281</v>
      </c>
      <c r="G501" s="262">
        <v>432.0755670680482</v>
      </c>
      <c r="H501" s="264" t="s">
        <v>1281</v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v>0</v>
      </c>
      <c r="C502" s="239">
        <v>0</v>
      </c>
      <c r="D502" s="239">
        <v>0</v>
      </c>
      <c r="E502" s="180">
        <v>0</v>
      </c>
      <c r="F502" s="262" t="s">
        <v>1281</v>
      </c>
      <c r="G502" s="262" t="s">
        <v>1281</v>
      </c>
      <c r="H502" s="264" t="s">
        <v>1281</v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v>4056.46</v>
      </c>
      <c r="C503" s="239">
        <v>14766.369999999999</v>
      </c>
      <c r="D503" s="239">
        <v>0</v>
      </c>
      <c r="E503" s="180">
        <v>429</v>
      </c>
      <c r="F503" s="262" t="s">
        <v>1281</v>
      </c>
      <c r="G503" s="262">
        <v>34.420442890442885</v>
      </c>
      <c r="H503" s="264" t="s">
        <v>1281</v>
      </c>
      <c r="I503" s="266"/>
      <c r="K503" s="260"/>
      <c r="L503" s="260"/>
    </row>
    <row r="504" spans="1:12" ht="12.65" customHeight="1" x14ac:dyDescent="0.35">
      <c r="A504" s="180" t="s">
        <v>520</v>
      </c>
      <c r="B504" s="239">
        <v>0</v>
      </c>
      <c r="C504" s="239">
        <v>0</v>
      </c>
      <c r="D504" s="239">
        <v>0</v>
      </c>
      <c r="E504" s="180">
        <v>0</v>
      </c>
      <c r="F504" s="262" t="s">
        <v>1281</v>
      </c>
      <c r="G504" s="262" t="s">
        <v>1281</v>
      </c>
      <c r="H504" s="264" t="s">
        <v>1281</v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v>0</v>
      </c>
      <c r="C505" s="239">
        <v>0</v>
      </c>
      <c r="D505" s="239">
        <v>0</v>
      </c>
      <c r="E505" s="180">
        <v>0</v>
      </c>
      <c r="F505" s="262" t="s">
        <v>1281</v>
      </c>
      <c r="G505" s="262" t="s">
        <v>1281</v>
      </c>
      <c r="H505" s="264" t="s">
        <v>1281</v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v>0</v>
      </c>
      <c r="C506" s="239">
        <v>0</v>
      </c>
      <c r="D506" s="239">
        <v>0</v>
      </c>
      <c r="E506" s="180">
        <v>0</v>
      </c>
      <c r="F506" s="262" t="s">
        <v>1281</v>
      </c>
      <c r="G506" s="262" t="s">
        <v>1281</v>
      </c>
      <c r="H506" s="264" t="s">
        <v>1281</v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v>0</v>
      </c>
      <c r="C507" s="239">
        <v>0</v>
      </c>
      <c r="D507" s="239">
        <v>0</v>
      </c>
      <c r="E507" s="180">
        <v>0</v>
      </c>
      <c r="F507" s="262" t="s">
        <v>1281</v>
      </c>
      <c r="G507" s="262" t="s">
        <v>1281</v>
      </c>
      <c r="H507" s="264" t="s">
        <v>1281</v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v>577472.00000000012</v>
      </c>
      <c r="C508" s="239">
        <v>1848969.32</v>
      </c>
      <c r="D508" s="239">
        <v>141</v>
      </c>
      <c r="E508" s="180">
        <v>671</v>
      </c>
      <c r="F508" s="262">
        <v>4095.5460992907811</v>
      </c>
      <c r="G508" s="262">
        <v>2755.5429508196721</v>
      </c>
      <c r="H508" s="264">
        <v>-0.32718546342407306</v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v>256859.21</v>
      </c>
      <c r="C509" s="239">
        <v>1219741.5900000001</v>
      </c>
      <c r="D509" s="239">
        <v>27525</v>
      </c>
      <c r="E509" s="180">
        <v>0</v>
      </c>
      <c r="F509" s="262">
        <v>9.3318514078110812</v>
      </c>
      <c r="G509" s="262" t="s">
        <v>1281</v>
      </c>
      <c r="H509" s="264" t="s">
        <v>1281</v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v>61959.98</v>
      </c>
      <c r="C510" s="239">
        <v>243402.16</v>
      </c>
      <c r="D510" s="239">
        <v>20940</v>
      </c>
      <c r="E510" s="180">
        <v>0</v>
      </c>
      <c r="F510" s="262">
        <v>2.9589293218720156</v>
      </c>
      <c r="G510" s="262" t="s">
        <v>1281</v>
      </c>
      <c r="H510" s="264" t="s">
        <v>1281</v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v>136457.65000000002</v>
      </c>
      <c r="C511" s="239">
        <v>278957.00000000006</v>
      </c>
      <c r="D511" s="181">
        <v>46770</v>
      </c>
      <c r="E511" s="181">
        <v>0</v>
      </c>
      <c r="F511" s="262">
        <v>2.9176320290784696</v>
      </c>
      <c r="G511" s="262" t="s">
        <v>1281</v>
      </c>
      <c r="H511" s="264" t="s">
        <v>1281</v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v>86711.950000000012</v>
      </c>
      <c r="C512" s="239">
        <v>76436.86</v>
      </c>
      <c r="D512" s="181" t="s">
        <v>529</v>
      </c>
      <c r="E512" s="181" t="s">
        <v>529</v>
      </c>
      <c r="F512" s="262" t="s">
        <v>1281</v>
      </c>
      <c r="G512" s="262" t="s">
        <v>1281</v>
      </c>
      <c r="H512" s="264" t="s">
        <v>1281</v>
      </c>
      <c r="I512" s="266"/>
      <c r="K512" s="260"/>
      <c r="L512" s="260"/>
    </row>
    <row r="513" spans="1:12" ht="12.65" customHeight="1" x14ac:dyDescent="0.35">
      <c r="A513" s="180" t="s">
        <v>1246</v>
      </c>
      <c r="B513" s="239">
        <v>435.54999999999995</v>
      </c>
      <c r="C513" s="239">
        <v>-1334.92</v>
      </c>
      <c r="D513" s="239" t="s">
        <v>529</v>
      </c>
      <c r="E513" s="180" t="s">
        <v>529</v>
      </c>
      <c r="F513" s="262" t="s">
        <v>1281</v>
      </c>
      <c r="G513" s="262" t="s">
        <v>1281</v>
      </c>
      <c r="H513" s="264" t="s">
        <v>1281</v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v>477399.36</v>
      </c>
      <c r="C514" s="239">
        <v>1411487.89</v>
      </c>
      <c r="D514" s="239">
        <v>26433</v>
      </c>
      <c r="E514" s="180">
        <v>0</v>
      </c>
      <c r="F514" s="262">
        <v>18.06073317444104</v>
      </c>
      <c r="G514" s="262" t="s">
        <v>1281</v>
      </c>
      <c r="H514" s="264" t="s">
        <v>1281</v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v>0</v>
      </c>
      <c r="C515" s="239">
        <v>511.01</v>
      </c>
      <c r="D515" s="239">
        <v>0</v>
      </c>
      <c r="E515" s="180">
        <v>0</v>
      </c>
      <c r="F515" s="262" t="s">
        <v>1281</v>
      </c>
      <c r="G515" s="262" t="s">
        <v>1281</v>
      </c>
      <c r="H515" s="264" t="s">
        <v>1281</v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v>11781</v>
      </c>
      <c r="C516" s="239">
        <v>135249.54</v>
      </c>
      <c r="D516" s="239">
        <v>74</v>
      </c>
      <c r="E516" s="180">
        <v>0</v>
      </c>
      <c r="F516" s="262">
        <v>159.20270270270271</v>
      </c>
      <c r="G516" s="262" t="s">
        <v>1281</v>
      </c>
      <c r="H516" s="264" t="s">
        <v>1281</v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v>23222.95</v>
      </c>
      <c r="C517" s="239">
        <v>101591.90999999999</v>
      </c>
      <c r="D517" s="239">
        <v>1197</v>
      </c>
      <c r="E517" s="180">
        <v>3597</v>
      </c>
      <c r="F517" s="262">
        <v>19.400960735171264</v>
      </c>
      <c r="G517" s="262">
        <v>28.243511259382817</v>
      </c>
      <c r="H517" s="264">
        <v>0.45577900212855083</v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v>398803.32000000007</v>
      </c>
      <c r="C518" s="239">
        <v>1099733.74</v>
      </c>
      <c r="D518" s="239">
        <v>3860</v>
      </c>
      <c r="E518" s="180">
        <v>0</v>
      </c>
      <c r="F518" s="262">
        <v>103.31692227979276</v>
      </c>
      <c r="G518" s="262" t="s">
        <v>1281</v>
      </c>
      <c r="H518" s="264" t="s">
        <v>1281</v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v>0</v>
      </c>
      <c r="C519" s="239">
        <v>0</v>
      </c>
      <c r="D519" s="239">
        <v>0</v>
      </c>
      <c r="E519" s="180">
        <v>0</v>
      </c>
      <c r="F519" s="262" t="s">
        <v>1281</v>
      </c>
      <c r="G519" s="262" t="s">
        <v>1281</v>
      </c>
      <c r="H519" s="264" t="s">
        <v>1281</v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v>0</v>
      </c>
      <c r="C520" s="239">
        <v>0</v>
      </c>
      <c r="D520" s="181">
        <v>0</v>
      </c>
      <c r="E520" s="181">
        <v>0</v>
      </c>
      <c r="F520" s="262" t="s">
        <v>1281</v>
      </c>
      <c r="G520" s="262" t="s">
        <v>1281</v>
      </c>
      <c r="H520" s="264" t="s">
        <v>1281</v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v>214047.03999999998</v>
      </c>
      <c r="C521" s="239">
        <v>479710.34999999992</v>
      </c>
      <c r="D521" s="239" t="s">
        <v>529</v>
      </c>
      <c r="E521" s="180" t="s">
        <v>529</v>
      </c>
      <c r="F521" s="262" t="s">
        <v>1281</v>
      </c>
      <c r="G521" s="262" t="s">
        <v>1281</v>
      </c>
      <c r="H521" s="264" t="s">
        <v>1281</v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v>168177.29</v>
      </c>
      <c r="C522" s="239">
        <v>530040.02</v>
      </c>
      <c r="D522" s="239">
        <v>3370</v>
      </c>
      <c r="E522" s="180">
        <v>0</v>
      </c>
      <c r="F522" s="262">
        <v>49.904240356083086</v>
      </c>
      <c r="G522" s="262" t="s">
        <v>1281</v>
      </c>
      <c r="H522" s="264" t="s">
        <v>1281</v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v>0</v>
      </c>
      <c r="C523" s="239">
        <v>0</v>
      </c>
      <c r="D523" s="239">
        <v>0</v>
      </c>
      <c r="E523" s="180">
        <v>0</v>
      </c>
      <c r="F523" s="262" t="s">
        <v>1281</v>
      </c>
      <c r="G523" s="262" t="s">
        <v>1281</v>
      </c>
      <c r="H523" s="264" t="s">
        <v>1281</v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v>3973.75</v>
      </c>
      <c r="C524" s="239">
        <v>-2565.62</v>
      </c>
      <c r="D524" s="239">
        <v>42</v>
      </c>
      <c r="E524" s="180">
        <v>0</v>
      </c>
      <c r="F524" s="262">
        <v>94.613095238095241</v>
      </c>
      <c r="G524" s="262" t="s">
        <v>1281</v>
      </c>
      <c r="H524" s="264" t="s">
        <v>1281</v>
      </c>
      <c r="I524" s="266"/>
      <c r="K524" s="260"/>
      <c r="L524" s="260"/>
    </row>
    <row r="525" spans="1:12" ht="12.65" customHeight="1" x14ac:dyDescent="0.35">
      <c r="A525" s="180" t="s">
        <v>541</v>
      </c>
      <c r="B525" s="239">
        <v>0</v>
      </c>
      <c r="C525" s="239">
        <v>0</v>
      </c>
      <c r="D525" s="239">
        <v>0</v>
      </c>
      <c r="E525" s="180">
        <v>0</v>
      </c>
      <c r="F525" s="262" t="s">
        <v>1281</v>
      </c>
      <c r="G525" s="262" t="s">
        <v>1281</v>
      </c>
      <c r="H525" s="264" t="s">
        <v>1281</v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v>816249.5</v>
      </c>
      <c r="C526" s="239">
        <v>3356774.33</v>
      </c>
      <c r="D526" s="239">
        <v>6762</v>
      </c>
      <c r="E526" s="180">
        <v>18929</v>
      </c>
      <c r="F526" s="262">
        <v>120.71125406684413</v>
      </c>
      <c r="G526" s="262">
        <v>177.33500607533415</v>
      </c>
      <c r="H526" s="264">
        <v>0.46908428254033785</v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v>0</v>
      </c>
      <c r="C527" s="239">
        <v>0</v>
      </c>
      <c r="D527" s="239">
        <v>0</v>
      </c>
      <c r="E527" s="180">
        <v>0</v>
      </c>
      <c r="F527" s="262" t="s">
        <v>1281</v>
      </c>
      <c r="G527" s="262" t="s">
        <v>1281</v>
      </c>
      <c r="H527" s="264" t="s">
        <v>1281</v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v>0</v>
      </c>
      <c r="C528" s="239">
        <v>0</v>
      </c>
      <c r="D528" s="239">
        <v>0</v>
      </c>
      <c r="E528" s="180">
        <v>0</v>
      </c>
      <c r="F528" s="262" t="s">
        <v>1281</v>
      </c>
      <c r="G528" s="262" t="s">
        <v>1281</v>
      </c>
      <c r="H528" s="264" t="s">
        <v>1281</v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v>0</v>
      </c>
      <c r="C529" s="239">
        <v>2377059.7299999995</v>
      </c>
      <c r="D529" s="239">
        <v>0</v>
      </c>
      <c r="E529" s="180">
        <v>12378</v>
      </c>
      <c r="F529" s="262" t="s">
        <v>1281</v>
      </c>
      <c r="G529" s="262">
        <v>192.03907981903373</v>
      </c>
      <c r="H529" s="264" t="s">
        <v>1281</v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v>0</v>
      </c>
      <c r="C530" s="239">
        <v>0</v>
      </c>
      <c r="D530" s="239">
        <v>0</v>
      </c>
      <c r="E530" s="180">
        <v>0</v>
      </c>
      <c r="F530" s="262" t="s">
        <v>1281</v>
      </c>
      <c r="G530" s="262" t="s">
        <v>1281</v>
      </c>
      <c r="H530" s="264" t="s">
        <v>1281</v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v>532.87</v>
      </c>
      <c r="C531" s="239">
        <v>13279.699999999999</v>
      </c>
      <c r="D531" s="239">
        <v>0</v>
      </c>
      <c r="E531" s="180">
        <v>0</v>
      </c>
      <c r="F531" s="262" t="s">
        <v>1281</v>
      </c>
      <c r="G531" s="262" t="s">
        <v>1281</v>
      </c>
      <c r="H531" s="264" t="s">
        <v>1281</v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v>0</v>
      </c>
      <c r="C532" s="239">
        <v>0</v>
      </c>
      <c r="D532" s="239">
        <v>0</v>
      </c>
      <c r="E532" s="180">
        <v>0</v>
      </c>
      <c r="F532" s="262" t="s">
        <v>1281</v>
      </c>
      <c r="G532" s="262" t="s">
        <v>1281</v>
      </c>
      <c r="H532" s="264" t="s">
        <v>1281</v>
      </c>
      <c r="I532" s="266"/>
      <c r="K532" s="260"/>
      <c r="L532" s="260"/>
    </row>
    <row r="533" spans="1:12" ht="12.65" customHeight="1" x14ac:dyDescent="0.35">
      <c r="A533" s="180" t="s">
        <v>1247</v>
      </c>
      <c r="B533" s="239">
        <v>0</v>
      </c>
      <c r="C533" s="239">
        <v>0</v>
      </c>
      <c r="D533" s="239">
        <v>0</v>
      </c>
      <c r="E533" s="180">
        <v>0</v>
      </c>
      <c r="F533" s="262" t="s">
        <v>1281</v>
      </c>
      <c r="G533" s="262" t="s">
        <v>1281</v>
      </c>
      <c r="H533" s="264" t="s">
        <v>1281</v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v>0</v>
      </c>
      <c r="C534" s="239">
        <v>0</v>
      </c>
      <c r="D534" s="239">
        <v>0</v>
      </c>
      <c r="E534" s="180">
        <v>0</v>
      </c>
      <c r="F534" s="262" t="s">
        <v>1281</v>
      </c>
      <c r="G534" s="262" t="s">
        <v>1281</v>
      </c>
      <c r="H534" s="264" t="s">
        <v>1281</v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v>0</v>
      </c>
      <c r="C535" s="239">
        <v>0</v>
      </c>
      <c r="D535" s="239">
        <v>0</v>
      </c>
      <c r="E535" s="180">
        <v>0</v>
      </c>
      <c r="F535" s="262" t="s">
        <v>1281</v>
      </c>
      <c r="G535" s="262" t="s">
        <v>1281</v>
      </c>
      <c r="H535" s="264" t="s">
        <v>1281</v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v>0</v>
      </c>
      <c r="C536" s="239">
        <v>0</v>
      </c>
      <c r="D536" s="239">
        <v>0</v>
      </c>
      <c r="E536" s="180">
        <v>0</v>
      </c>
      <c r="F536" s="262" t="s">
        <v>1281</v>
      </c>
      <c r="G536" s="262" t="s">
        <v>1281</v>
      </c>
      <c r="H536" s="264" t="s">
        <v>1281</v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v>0</v>
      </c>
      <c r="C537" s="239">
        <v>0</v>
      </c>
      <c r="D537" s="239">
        <v>0</v>
      </c>
      <c r="E537" s="180">
        <v>0</v>
      </c>
      <c r="F537" s="262" t="s">
        <v>1281</v>
      </c>
      <c r="G537" s="262" t="s">
        <v>1281</v>
      </c>
      <c r="H537" s="264" t="s">
        <v>1281</v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v>0</v>
      </c>
      <c r="C538" s="239">
        <v>0</v>
      </c>
      <c r="D538" s="239">
        <v>0</v>
      </c>
      <c r="E538" s="180">
        <v>0</v>
      </c>
      <c r="F538" s="262" t="s">
        <v>1281</v>
      </c>
      <c r="G538" s="262" t="s">
        <v>1281</v>
      </c>
      <c r="H538" s="264" t="s">
        <v>1281</v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v>0</v>
      </c>
      <c r="C539" s="239">
        <v>0</v>
      </c>
      <c r="D539" s="239">
        <v>0</v>
      </c>
      <c r="E539" s="180">
        <v>0</v>
      </c>
      <c r="F539" s="262" t="s">
        <v>1281</v>
      </c>
      <c r="G539" s="262" t="s">
        <v>1281</v>
      </c>
      <c r="H539" s="264" t="s">
        <v>1281</v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v>0</v>
      </c>
      <c r="C540" s="239">
        <v>0</v>
      </c>
      <c r="D540" s="181">
        <v>0</v>
      </c>
      <c r="E540" s="181">
        <v>0</v>
      </c>
      <c r="F540" s="262" t="s">
        <v>1281</v>
      </c>
      <c r="G540" s="262" t="s">
        <v>1281</v>
      </c>
      <c r="H540" s="264" t="s">
        <v>1281</v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v>365990.33</v>
      </c>
      <c r="C541" s="239">
        <v>4764.26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1248</v>
      </c>
      <c r="B542" s="239">
        <v>0</v>
      </c>
      <c r="C542" s="239"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v>13171.51</v>
      </c>
      <c r="C543" s="239">
        <v>-3658.48</v>
      </c>
      <c r="D543" s="239" t="s">
        <v>529</v>
      </c>
      <c r="E543" s="180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v>96407.97</v>
      </c>
      <c r="C544" s="239">
        <v>77021.62</v>
      </c>
      <c r="D544" s="239">
        <v>0</v>
      </c>
      <c r="E544" s="180">
        <v>24026</v>
      </c>
      <c r="F544" s="262" t="s">
        <v>1281</v>
      </c>
      <c r="G544" s="262">
        <v>3.205761258636477</v>
      </c>
      <c r="H544" s="264" t="s">
        <v>1281</v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v>0</v>
      </c>
      <c r="C545" s="239">
        <v>357617.17</v>
      </c>
      <c r="D545" s="239">
        <v>0</v>
      </c>
      <c r="E545" s="180">
        <v>24026</v>
      </c>
      <c r="F545" s="262" t="s">
        <v>1281</v>
      </c>
      <c r="G545" s="262">
        <v>14.884590443686006</v>
      </c>
      <c r="H545" s="264" t="s">
        <v>1281</v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v>34363.5</v>
      </c>
      <c r="C546" s="239">
        <v>56216.67</v>
      </c>
      <c r="D546" s="181">
        <v>0</v>
      </c>
      <c r="E546" s="181">
        <v>0</v>
      </c>
      <c r="F546" s="262" t="s">
        <v>1281</v>
      </c>
      <c r="G546" s="262" t="s">
        <v>1281</v>
      </c>
      <c r="H546" s="264" t="s">
        <v>1281</v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v>0</v>
      </c>
      <c r="C547" s="239"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v>0</v>
      </c>
      <c r="C548" s="239"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v>53440.31</v>
      </c>
      <c r="C549" s="239">
        <v>435159.81000000006</v>
      </c>
      <c r="D549" s="239" t="s">
        <v>529</v>
      </c>
      <c r="E549" s="180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v>257427.6</v>
      </c>
      <c r="C550" s="239">
        <v>855822.32</v>
      </c>
      <c r="D550" s="181">
        <v>67629</v>
      </c>
      <c r="E550" s="181">
        <v>70293</v>
      </c>
      <c r="F550" s="262">
        <v>3.8064676396220558</v>
      </c>
      <c r="G550" s="262">
        <v>12.175071771015606</v>
      </c>
      <c r="H550" s="264">
        <v>2.1985223371620384</v>
      </c>
      <c r="I550" s="266"/>
      <c r="J550" s="199"/>
      <c r="M550" s="264"/>
    </row>
    <row r="551" spans="1:13" ht="12.65" customHeight="1" x14ac:dyDescent="0.35">
      <c r="A551" s="180" t="s">
        <v>565</v>
      </c>
      <c r="B551" s="239">
        <v>102722.87</v>
      </c>
      <c r="C551" s="239">
        <v>423457.04</v>
      </c>
      <c r="D551" s="181" t="s">
        <v>529</v>
      </c>
      <c r="E551" s="181" t="s">
        <v>529</v>
      </c>
      <c r="F551" s="262"/>
      <c r="G551" s="262"/>
      <c r="H551" s="264"/>
      <c r="J551" s="199"/>
      <c r="M551" s="264"/>
    </row>
    <row r="552" spans="1:13" ht="12.65" customHeight="1" x14ac:dyDescent="0.35">
      <c r="A552" s="180" t="s">
        <v>566</v>
      </c>
      <c r="B552" s="239">
        <v>17330.079999999998</v>
      </c>
      <c r="C552" s="239">
        <v>-13126.16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v>77707.8</v>
      </c>
      <c r="C553" s="239">
        <v>7699.67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v>0</v>
      </c>
      <c r="C554" s="239"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v>3212.87</v>
      </c>
      <c r="C555" s="239"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v>121542.01</v>
      </c>
      <c r="C556" s="239">
        <v>-43246.84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v>126457.74</v>
      </c>
      <c r="C557" s="239">
        <v>585821.24000000011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v>0</v>
      </c>
      <c r="C558" s="239">
        <v>4199.67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v>704863.80000000016</v>
      </c>
      <c r="C559" s="239">
        <v>2294038.67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v>0</v>
      </c>
      <c r="C560" s="239">
        <v>2916.71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v>40.4</v>
      </c>
      <c r="C561" s="239">
        <v>2969.2000000000003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v>0</v>
      </c>
      <c r="C562" s="239"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v>22424.5</v>
      </c>
      <c r="C563" s="239">
        <v>22396.44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1249</v>
      </c>
      <c r="B564" s="239">
        <v>1283</v>
      </c>
      <c r="C564" s="239">
        <v>6483.4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v>1625</v>
      </c>
      <c r="C565" s="239">
        <v>7987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v>0</v>
      </c>
      <c r="C566" s="239"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v>126743.66999999998</v>
      </c>
      <c r="C567" s="239">
        <v>297190.99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v>4470.79</v>
      </c>
      <c r="C568" s="239"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v>104979.48000000001</v>
      </c>
      <c r="C569" s="239">
        <v>232739.58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v>99895.400000000009</v>
      </c>
      <c r="C570" s="239">
        <v>455819.91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v>0</v>
      </c>
      <c r="C571" s="239"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v>0</v>
      </c>
      <c r="C572" s="239">
        <v>39915.619999999995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v>0</v>
      </c>
      <c r="C573" s="239"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v>40100</v>
      </c>
      <c r="C574" s="239">
        <v>1606253.9000000001</v>
      </c>
      <c r="D574" s="181" t="s">
        <v>529</v>
      </c>
      <c r="E574" s="181" t="s">
        <v>529</v>
      </c>
      <c r="F574" s="262"/>
      <c r="G574" s="262"/>
      <c r="H574" s="264"/>
    </row>
    <row r="575" spans="1:13" ht="12.65" customHeight="1" x14ac:dyDescent="0.35">
      <c r="A575" s="180" t="s">
        <v>588</v>
      </c>
      <c r="B575" s="180">
        <v>860719.34000000008</v>
      </c>
      <c r="C575" s="180">
        <v>0</v>
      </c>
      <c r="D575" s="180" t="s">
        <v>529</v>
      </c>
      <c r="E575" s="180" t="s">
        <v>529</v>
      </c>
      <c r="M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611" spans="1:14" ht="12.65" customHeight="1" x14ac:dyDescent="0.35">
      <c r="A611" s="196"/>
      <c r="C611" s="181"/>
      <c r="H611" s="197"/>
      <c r="L611" s="197"/>
    </row>
    <row r="612" spans="1:14" ht="12.65" customHeight="1" x14ac:dyDescent="0.35">
      <c r="A612" s="196"/>
      <c r="C612" s="181" t="s">
        <v>589</v>
      </c>
      <c r="D612" s="181">
        <v>67186</v>
      </c>
      <c r="E612" s="198">
        <v>21567534.23305361</v>
      </c>
      <c r="F612" s="181">
        <v>1538603.8600000003</v>
      </c>
      <c r="G612" s="181">
        <v>24026</v>
      </c>
      <c r="H612" s="181">
        <v>165.51199999999989</v>
      </c>
      <c r="I612" s="181">
        <v>0</v>
      </c>
      <c r="J612" s="181">
        <v>212664</v>
      </c>
      <c r="K612" s="181">
        <v>116362111.40000001</v>
      </c>
      <c r="L612" s="198">
        <v>61.02</v>
      </c>
    </row>
    <row r="613" spans="1:14" ht="12.65" customHeight="1" x14ac:dyDescent="0.35">
      <c r="A613" s="196"/>
      <c r="B613" s="198"/>
      <c r="C613" s="180" t="s">
        <v>590</v>
      </c>
      <c r="D613" s="180" t="s">
        <v>591</v>
      </c>
      <c r="E613" s="180" t="s">
        <v>592</v>
      </c>
      <c r="F613" s="180" t="s">
        <v>593</v>
      </c>
      <c r="G613" s="180" t="s">
        <v>594</v>
      </c>
      <c r="H613" s="180" t="s">
        <v>595</v>
      </c>
      <c r="I613" s="180" t="s">
        <v>596</v>
      </c>
      <c r="J613" s="180" t="s">
        <v>597</v>
      </c>
      <c r="K613" s="180" t="s">
        <v>598</v>
      </c>
      <c r="L613" s="180" t="s">
        <v>599</v>
      </c>
      <c r="N613" s="199"/>
    </row>
    <row r="614" spans="1:14" ht="12.65" customHeight="1" x14ac:dyDescent="0.35">
      <c r="A614" s="196">
        <v>8430</v>
      </c>
      <c r="B614" s="198" t="s">
        <v>140</v>
      </c>
      <c r="C614" s="180">
        <v>855822.32</v>
      </c>
      <c r="D614" s="265"/>
      <c r="N614" s="199" t="s">
        <v>600</v>
      </c>
    </row>
    <row r="615" spans="1:14" ht="12.65" customHeight="1" x14ac:dyDescent="0.35">
      <c r="A615" s="196"/>
      <c r="B615" s="200" t="s">
        <v>601</v>
      </c>
      <c r="C615" s="180">
        <v>0</v>
      </c>
      <c r="D615" s="180">
        <v>855822.32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v>-3658.48</v>
      </c>
      <c r="D616" s="180"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v>0</v>
      </c>
      <c r="D617" s="180"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v>-13126.16</v>
      </c>
      <c r="D618" s="180"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v>2294038.67</v>
      </c>
      <c r="D619" s="180">
        <v>27934.664182418954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v>1606253.9000000001</v>
      </c>
      <c r="D620" s="180">
        <v>110286.51276396867</v>
      </c>
      <c r="N620" s="199" t="s">
        <v>611</v>
      </c>
    </row>
    <row r="621" spans="1:14" ht="12.65" customHeight="1" x14ac:dyDescent="0.35">
      <c r="A621" s="196">
        <v>8630</v>
      </c>
      <c r="B621" s="198" t="s">
        <v>612</v>
      </c>
      <c r="C621" s="180">
        <v>2969.2000000000003</v>
      </c>
      <c r="D621" s="180">
        <v>0</v>
      </c>
      <c r="N621" s="199" t="s">
        <v>613</v>
      </c>
    </row>
    <row r="622" spans="1:14" ht="12.65" customHeight="1" x14ac:dyDescent="0.35">
      <c r="A622" s="196">
        <v>8770</v>
      </c>
      <c r="B622" s="200" t="s">
        <v>614</v>
      </c>
      <c r="C622" s="180">
        <v>0</v>
      </c>
      <c r="D622" s="180"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v>0</v>
      </c>
      <c r="D623" s="180">
        <v>0</v>
      </c>
      <c r="E623" s="180">
        <v>4024698.3069463875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v>435159.81000000006</v>
      </c>
      <c r="D624" s="180">
        <v>27106.687359866635</v>
      </c>
      <c r="E624" s="180">
        <v>86263.138343880957</v>
      </c>
      <c r="F624" s="180">
        <v>548529.63570374763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v>77021.62</v>
      </c>
      <c r="D625" s="180">
        <v>21183.46855237698</v>
      </c>
      <c r="E625" s="180">
        <v>18325.96389366256</v>
      </c>
      <c r="F625" s="180">
        <v>-251.09089640926115</v>
      </c>
      <c r="G625" s="180">
        <v>116279.96154963027</v>
      </c>
      <c r="N625" s="199" t="s">
        <v>619</v>
      </c>
    </row>
    <row r="626" spans="1:14" ht="12.65" customHeight="1" x14ac:dyDescent="0.35">
      <c r="A626" s="196">
        <v>8650</v>
      </c>
      <c r="B626" s="198" t="s">
        <v>152</v>
      </c>
      <c r="C626" s="180">
        <v>22396.44</v>
      </c>
      <c r="D626" s="180">
        <v>5197.1468246360846</v>
      </c>
      <c r="E626" s="180">
        <v>5149.214600781338</v>
      </c>
      <c r="F626" s="180">
        <v>203.68559114795286</v>
      </c>
      <c r="G626" s="180">
        <v>0</v>
      </c>
      <c r="N626" s="199" t="s">
        <v>620</v>
      </c>
    </row>
    <row r="627" spans="1:14" ht="12.65" customHeight="1" x14ac:dyDescent="0.35">
      <c r="A627" s="196">
        <v>8620</v>
      </c>
      <c r="B627" s="200" t="s">
        <v>621</v>
      </c>
      <c r="C627" s="180">
        <v>2916.71</v>
      </c>
      <c r="D627" s="180">
        <v>0</v>
      </c>
      <c r="E627" s="180">
        <v>544.28464895458592</v>
      </c>
      <c r="F627" s="180">
        <v>678.82956828611395</v>
      </c>
      <c r="G627" s="180"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v>357617.17</v>
      </c>
      <c r="D628" s="180">
        <v>0</v>
      </c>
      <c r="E628" s="180">
        <v>66734.620800004952</v>
      </c>
      <c r="F628" s="180">
        <v>78416.72439644493</v>
      </c>
      <c r="G628" s="180">
        <v>0</v>
      </c>
      <c r="H628" s="180">
        <v>539854.82643025601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v>423457.04</v>
      </c>
      <c r="D629" s="180">
        <v>17170.965489238828</v>
      </c>
      <c r="E629" s="180">
        <v>82225.198695540414</v>
      </c>
      <c r="F629" s="180">
        <v>8932.1406302804935</v>
      </c>
      <c r="G629" s="180">
        <v>0</v>
      </c>
      <c r="H629" s="180">
        <v>19739.966948353664</v>
      </c>
      <c r="I629" s="180">
        <v>551525.31176341348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v>56216.67</v>
      </c>
      <c r="D630" s="180">
        <v>0</v>
      </c>
      <c r="E630" s="180">
        <v>10490.542596399984</v>
      </c>
      <c r="F630" s="180">
        <v>-784.32482195140506</v>
      </c>
      <c r="G630" s="180">
        <v>0</v>
      </c>
      <c r="H630" s="180">
        <v>0</v>
      </c>
      <c r="I630" s="180" t="e">
        <v>#DIV/0!</v>
      </c>
      <c r="J630" s="180" t="e"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v>0</v>
      </c>
      <c r="D631" s="180">
        <v>0</v>
      </c>
      <c r="E631" s="180">
        <v>0</v>
      </c>
      <c r="F631" s="180">
        <v>0</v>
      </c>
      <c r="G631" s="180">
        <v>0</v>
      </c>
      <c r="H631" s="180">
        <v>0</v>
      </c>
      <c r="I631" s="180" t="e">
        <v>#DIV/0!</v>
      </c>
      <c r="J631" s="180" t="e"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v>0</v>
      </c>
      <c r="D632" s="180">
        <v>0</v>
      </c>
      <c r="E632" s="180">
        <v>0</v>
      </c>
      <c r="F632" s="180">
        <v>0</v>
      </c>
      <c r="G632" s="180">
        <v>0</v>
      </c>
      <c r="H632" s="180">
        <v>0</v>
      </c>
      <c r="I632" s="180" t="e">
        <v>#DIV/0!</v>
      </c>
      <c r="J632" s="180" t="e"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v>0</v>
      </c>
      <c r="D633" s="180">
        <v>0</v>
      </c>
      <c r="E633" s="180">
        <v>0</v>
      </c>
      <c r="F633" s="180">
        <v>0</v>
      </c>
      <c r="G633" s="180">
        <v>0</v>
      </c>
      <c r="H633" s="180">
        <v>0</v>
      </c>
      <c r="I633" s="180" t="e">
        <v>#DIV/0!</v>
      </c>
      <c r="J633" s="180" t="e"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v>0</v>
      </c>
      <c r="D634" s="180">
        <v>0</v>
      </c>
      <c r="E634" s="180">
        <v>0</v>
      </c>
      <c r="F634" s="180">
        <v>0</v>
      </c>
      <c r="G634" s="180">
        <v>0</v>
      </c>
      <c r="H634" s="180">
        <v>0</v>
      </c>
      <c r="I634" s="180" t="e">
        <v>#DIV/0!</v>
      </c>
      <c r="J634" s="180" t="e"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v>-43246.84</v>
      </c>
      <c r="D635" s="180">
        <v>31845.262405858361</v>
      </c>
      <c r="E635" s="180">
        <v>-2127.6382150970962</v>
      </c>
      <c r="F635" s="180">
        <v>10.691773368328471</v>
      </c>
      <c r="G635" s="180">
        <v>0</v>
      </c>
      <c r="H635" s="180">
        <v>0</v>
      </c>
      <c r="I635" s="180" t="e">
        <v>#DIV/0!</v>
      </c>
      <c r="J635" s="180" t="e"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v>7699.67</v>
      </c>
      <c r="D636" s="180">
        <v>3566.6693894561363</v>
      </c>
      <c r="E636" s="180">
        <v>2102.401534466353</v>
      </c>
      <c r="F636" s="180">
        <v>140.18380147250545</v>
      </c>
      <c r="G636" s="180">
        <v>0</v>
      </c>
      <c r="H636" s="180">
        <v>0</v>
      </c>
      <c r="I636" s="180" t="e">
        <v>#DIV/0!</v>
      </c>
      <c r="J636" s="180" t="e"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v>585821.24000000011</v>
      </c>
      <c r="D637" s="180">
        <v>0</v>
      </c>
      <c r="E637" s="180">
        <v>109319.57855376101</v>
      </c>
      <c r="F637" s="180">
        <v>2995.6323993970609</v>
      </c>
      <c r="G637" s="180">
        <v>0</v>
      </c>
      <c r="H637" s="180">
        <v>40347.553065289954</v>
      </c>
      <c r="I637" s="180" t="e">
        <v>#DIV/0!</v>
      </c>
      <c r="J637" s="180" t="e"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v>4199.67</v>
      </c>
      <c r="D638" s="180">
        <v>0</v>
      </c>
      <c r="E638" s="180">
        <v>783.69666908095269</v>
      </c>
      <c r="F638" s="180">
        <v>0</v>
      </c>
      <c r="G638" s="180">
        <v>0</v>
      </c>
      <c r="H638" s="180">
        <v>0</v>
      </c>
      <c r="I638" s="180" t="e">
        <v>#DIV/0!</v>
      </c>
      <c r="J638" s="180" t="e"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v>6483.4</v>
      </c>
      <c r="D639" s="180">
        <v>3821.4314887030032</v>
      </c>
      <c r="E639" s="180">
        <v>1922.9754035762473</v>
      </c>
      <c r="F639" s="180">
        <v>0</v>
      </c>
      <c r="G639" s="180">
        <v>0</v>
      </c>
      <c r="H639" s="180">
        <v>0</v>
      </c>
      <c r="I639" s="180" t="e">
        <v>#DIV/0!</v>
      </c>
      <c r="J639" s="180" t="e"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v>7987</v>
      </c>
      <c r="D640" s="180">
        <v>4840.4798856904708</v>
      </c>
      <c r="E640" s="180">
        <v>2393.7245686252832</v>
      </c>
      <c r="F640" s="180">
        <v>0</v>
      </c>
      <c r="G640" s="180">
        <v>0</v>
      </c>
      <c r="H640" s="180">
        <v>0</v>
      </c>
      <c r="I640" s="180" t="e">
        <v>#DIV/0!</v>
      </c>
      <c r="J640" s="180" t="e"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v>0</v>
      </c>
      <c r="D641" s="180">
        <v>0</v>
      </c>
      <c r="E641" s="180">
        <v>0</v>
      </c>
      <c r="F641" s="180">
        <v>0</v>
      </c>
      <c r="G641" s="180">
        <v>0</v>
      </c>
      <c r="H641" s="180">
        <v>0</v>
      </c>
      <c r="I641" s="180" t="e">
        <v>#DIV/0!</v>
      </c>
      <c r="J641" s="180" t="e"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v>297190.99</v>
      </c>
      <c r="D642" s="180">
        <v>17323.822748786948</v>
      </c>
      <c r="E642" s="180">
        <v>58691.328396717814</v>
      </c>
      <c r="F642" s="180">
        <v>117.04265411211195</v>
      </c>
      <c r="G642" s="180">
        <v>0</v>
      </c>
      <c r="H642" s="180">
        <v>9980.8821648979192</v>
      </c>
      <c r="I642" s="180" t="e">
        <v>#DIV/0!</v>
      </c>
      <c r="J642" s="180" t="e"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v>0</v>
      </c>
      <c r="D643" s="180">
        <v>0</v>
      </c>
      <c r="E643" s="180">
        <v>0</v>
      </c>
      <c r="F643" s="180">
        <v>0</v>
      </c>
      <c r="G643" s="180">
        <v>0</v>
      </c>
      <c r="H643" s="180">
        <v>0</v>
      </c>
      <c r="I643" s="180" t="e">
        <v>#DIV/0!</v>
      </c>
      <c r="J643" s="180" t="e"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v>232739.58</v>
      </c>
      <c r="D644" s="180">
        <v>4127.1460077992433</v>
      </c>
      <c r="E644" s="180">
        <v>44201.488257035184</v>
      </c>
      <c r="F644" s="180">
        <v>100.29018893779535</v>
      </c>
      <c r="G644" s="180">
        <v>0</v>
      </c>
      <c r="H644" s="180">
        <v>6132.0452516366304</v>
      </c>
      <c r="I644" s="180" t="e">
        <v>#DIV/0!</v>
      </c>
      <c r="J644" s="180" t="e">
        <v>#DIV/0!</v>
      </c>
      <c r="K644" s="180" t="e"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v>455819.91</v>
      </c>
      <c r="D645" s="180">
        <v>0</v>
      </c>
      <c r="E645" s="180">
        <v>85060.146432405323</v>
      </c>
      <c r="F645" s="180">
        <v>43.843757547083541</v>
      </c>
      <c r="G645" s="180">
        <v>0</v>
      </c>
      <c r="H645" s="180">
        <v>15167.026819207624</v>
      </c>
      <c r="I645" s="180" t="e">
        <v>#DIV/0!</v>
      </c>
      <c r="J645" s="180" t="e"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v>0</v>
      </c>
      <c r="D646" s="180">
        <v>0</v>
      </c>
      <c r="E646" s="180">
        <v>0</v>
      </c>
      <c r="F646" s="180">
        <v>0</v>
      </c>
      <c r="G646" s="180">
        <v>0</v>
      </c>
      <c r="H646" s="180">
        <v>0</v>
      </c>
      <c r="I646" s="180" t="e">
        <v>#DIV/0!</v>
      </c>
      <c r="J646" s="180" t="e"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196" t="s">
        <v>658</v>
      </c>
      <c r="C647" s="180">
        <v>39915.619999999995</v>
      </c>
      <c r="D647" s="180">
        <v>0</v>
      </c>
      <c r="E647" s="180">
        <v>7448.6182100738997</v>
      </c>
      <c r="F647" s="180">
        <v>144.95748754792788</v>
      </c>
      <c r="G647" s="180">
        <v>0</v>
      </c>
      <c r="H647" s="180">
        <v>32.617261976790587</v>
      </c>
      <c r="I647" s="180" t="e">
        <v>#DIV/0!</v>
      </c>
      <c r="J647" s="180" t="e">
        <v>#DIV/0!</v>
      </c>
      <c r="K647" s="180">
        <v>0</v>
      </c>
      <c r="L647" s="265" t="e">
        <v>#DIV/0!</v>
      </c>
      <c r="N647" s="180" t="s">
        <v>659</v>
      </c>
    </row>
    <row r="648" spans="1:14" ht="12.65" customHeight="1" x14ac:dyDescent="0.35">
      <c r="C648" s="180">
        <v>7711695.1500000013</v>
      </c>
    </row>
    <row r="665" spans="1:14" ht="12.65" customHeight="1" x14ac:dyDescent="0.35">
      <c r="C665" s="181"/>
      <c r="M665" s="181"/>
    </row>
    <row r="666" spans="1:14" ht="12.65" customHeight="1" x14ac:dyDescent="0.35">
      <c r="C666" s="181" t="s">
        <v>660</v>
      </c>
      <c r="D666" s="181"/>
      <c r="E666" s="198"/>
      <c r="F666" s="181"/>
      <c r="G666" s="181"/>
      <c r="H666" s="181"/>
      <c r="I666" s="181"/>
      <c r="J666" s="181"/>
      <c r="K666" s="181"/>
      <c r="L666" s="198"/>
      <c r="M666" s="181" t="s">
        <v>661</v>
      </c>
    </row>
    <row r="667" spans="1:14" ht="12.65" customHeight="1" x14ac:dyDescent="0.35">
      <c r="A667" s="196"/>
      <c r="B667" s="198"/>
      <c r="C667" s="180" t="s">
        <v>590</v>
      </c>
      <c r="D667" s="180" t="s">
        <v>591</v>
      </c>
      <c r="E667" s="180" t="s">
        <v>592</v>
      </c>
      <c r="F667" s="180" t="s">
        <v>593</v>
      </c>
      <c r="G667" s="180" t="s">
        <v>594</v>
      </c>
      <c r="H667" s="180" t="s">
        <v>595</v>
      </c>
      <c r="I667" s="180" t="s">
        <v>596</v>
      </c>
      <c r="J667" s="180" t="s">
        <v>597</v>
      </c>
      <c r="K667" s="180" t="s">
        <v>598</v>
      </c>
      <c r="L667" s="180" t="s">
        <v>599</v>
      </c>
      <c r="M667" s="180" t="s">
        <v>662</v>
      </c>
      <c r="N667" s="198"/>
    </row>
    <row r="668" spans="1:14" ht="12.65" customHeight="1" x14ac:dyDescent="0.35">
      <c r="A668" s="196">
        <v>6010</v>
      </c>
      <c r="B668" s="198" t="s">
        <v>283</v>
      </c>
      <c r="C668" s="180">
        <v>831362.23999999987</v>
      </c>
      <c r="D668" s="180">
        <v>38214.314887030036</v>
      </c>
      <c r="E668" s="180">
        <v>162270.90451770154</v>
      </c>
      <c r="F668" s="180">
        <v>26736.371130382624</v>
      </c>
      <c r="G668" s="180">
        <v>2947.4109957431465</v>
      </c>
      <c r="H668" s="180">
        <v>22244.97266817118</v>
      </c>
      <c r="I668" s="180" t="e">
        <v>#DIV/0!</v>
      </c>
      <c r="J668" s="180" t="e">
        <v>#DIV/0!</v>
      </c>
      <c r="K668" s="180" t="e">
        <v>#DIV/0!</v>
      </c>
      <c r="L668" s="180" t="e">
        <v>#DIV/0!</v>
      </c>
      <c r="M668" s="180" t="e"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v>0</v>
      </c>
      <c r="D669" s="180">
        <v>0</v>
      </c>
      <c r="E669" s="180">
        <v>0</v>
      </c>
      <c r="F669" s="180">
        <v>0</v>
      </c>
      <c r="G669" s="180">
        <v>0</v>
      </c>
      <c r="H669" s="180">
        <v>0</v>
      </c>
      <c r="I669" s="180" t="e">
        <v>#DIV/0!</v>
      </c>
      <c r="J669" s="180" t="e">
        <v>#DIV/0!</v>
      </c>
      <c r="K669" s="180" t="e">
        <v>#DIV/0!</v>
      </c>
      <c r="L669" s="180" t="e">
        <v>#DIV/0!</v>
      </c>
      <c r="M669" s="180" t="e"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v>2317658.0599999996</v>
      </c>
      <c r="D670" s="180">
        <v>119012.11466317387</v>
      </c>
      <c r="E670" s="180">
        <v>454704.84574560198</v>
      </c>
      <c r="F670" s="180">
        <v>6879.5768316849753</v>
      </c>
      <c r="G670" s="180">
        <v>46374.535568490683</v>
      </c>
      <c r="H670" s="180">
        <v>97721.316882464598</v>
      </c>
      <c r="I670" s="180" t="e">
        <v>#DIV/0!</v>
      </c>
      <c r="J670" s="180" t="e">
        <v>#DIV/0!</v>
      </c>
      <c r="K670" s="180" t="e">
        <v>#DIV/0!</v>
      </c>
      <c r="L670" s="180" t="e">
        <v>#DIV/0!</v>
      </c>
      <c r="M670" s="180" t="e"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v>0</v>
      </c>
      <c r="D671" s="180">
        <v>0</v>
      </c>
      <c r="E671" s="180">
        <v>0</v>
      </c>
      <c r="F671" s="180">
        <v>0</v>
      </c>
      <c r="G671" s="180">
        <v>0</v>
      </c>
      <c r="H671" s="180">
        <v>0</v>
      </c>
      <c r="I671" s="180" t="e">
        <v>#DIV/0!</v>
      </c>
      <c r="J671" s="180" t="e">
        <v>#DIV/0!</v>
      </c>
      <c r="K671" s="180" t="e">
        <v>#DIV/0!</v>
      </c>
      <c r="L671" s="180" t="e">
        <v>#DIV/0!</v>
      </c>
      <c r="M671" s="180" t="e"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v>0</v>
      </c>
      <c r="D672" s="180">
        <v>0</v>
      </c>
      <c r="E672" s="180">
        <v>0</v>
      </c>
      <c r="F672" s="180">
        <v>0</v>
      </c>
      <c r="G672" s="180">
        <v>0</v>
      </c>
      <c r="H672" s="180">
        <v>0</v>
      </c>
      <c r="I672" s="180" t="e">
        <v>#DIV/0!</v>
      </c>
      <c r="J672" s="180" t="e">
        <v>#DIV/0!</v>
      </c>
      <c r="K672" s="180" t="e">
        <v>#DIV/0!</v>
      </c>
      <c r="L672" s="180" t="e">
        <v>#DIV/0!</v>
      </c>
      <c r="M672" s="180" t="e"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v>1542941.85</v>
      </c>
      <c r="D673" s="180">
        <v>49321.942414193429</v>
      </c>
      <c r="E673" s="180">
        <v>297130.92467103584</v>
      </c>
      <c r="F673" s="180">
        <v>2799.6224961657508</v>
      </c>
      <c r="G673" s="180">
        <v>56363.79056884184</v>
      </c>
      <c r="H673" s="180">
        <v>42891.699499479626</v>
      </c>
      <c r="I673" s="180" t="e">
        <v>#DIV/0!</v>
      </c>
      <c r="J673" s="180" t="e">
        <v>#DIV/0!</v>
      </c>
      <c r="K673" s="180" t="e">
        <v>#DIV/0!</v>
      </c>
      <c r="L673" s="180" t="e">
        <v>#DIV/0!</v>
      </c>
      <c r="M673" s="180" t="e"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v>0</v>
      </c>
      <c r="D674" s="180">
        <v>0</v>
      </c>
      <c r="E674" s="180">
        <v>0</v>
      </c>
      <c r="F674" s="180">
        <v>0</v>
      </c>
      <c r="G674" s="180">
        <v>0</v>
      </c>
      <c r="H674" s="180">
        <v>0</v>
      </c>
      <c r="I674" s="180" t="e">
        <v>#DIV/0!</v>
      </c>
      <c r="J674" s="180" t="e">
        <v>#DIV/0!</v>
      </c>
      <c r="K674" s="180" t="e">
        <v>#DIV/0!</v>
      </c>
      <c r="L674" s="180" t="e">
        <v>#DIV/0!</v>
      </c>
      <c r="M674" s="180" t="e"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v>14766.369999999999</v>
      </c>
      <c r="D675" s="180">
        <v>8916.6734736403414</v>
      </c>
      <c r="E675" s="180">
        <v>4419.4715975282179</v>
      </c>
      <c r="F675" s="180">
        <v>-14.360274467364817</v>
      </c>
      <c r="G675" s="180">
        <v>0</v>
      </c>
      <c r="H675" s="180">
        <v>0</v>
      </c>
      <c r="I675" s="180" t="e">
        <v>#DIV/0!</v>
      </c>
      <c r="J675" s="180" t="e">
        <v>#DIV/0!</v>
      </c>
      <c r="K675" s="180" t="e">
        <v>#DIV/0!</v>
      </c>
      <c r="L675" s="180" t="e">
        <v>#DIV/0!</v>
      </c>
      <c r="M675" s="180" t="e"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v>0</v>
      </c>
      <c r="D676" s="180">
        <v>0</v>
      </c>
      <c r="E676" s="180">
        <v>0</v>
      </c>
      <c r="F676" s="180">
        <v>0</v>
      </c>
      <c r="G676" s="180">
        <v>0</v>
      </c>
      <c r="H676" s="180">
        <v>0</v>
      </c>
      <c r="I676" s="180" t="e">
        <v>#DIV/0!</v>
      </c>
      <c r="J676" s="180" t="e">
        <v>#DIV/0!</v>
      </c>
      <c r="K676" s="180" t="e">
        <v>#DIV/0!</v>
      </c>
      <c r="L676" s="180" t="e">
        <v>#DIV/0!</v>
      </c>
      <c r="M676" s="180" t="e"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v>0</v>
      </c>
      <c r="D677" s="180">
        <v>0</v>
      </c>
      <c r="E677" s="180">
        <v>0</v>
      </c>
      <c r="F677" s="180">
        <v>0</v>
      </c>
      <c r="G677" s="180">
        <v>0</v>
      </c>
      <c r="H677" s="180">
        <v>0</v>
      </c>
      <c r="I677" s="180" t="e">
        <v>#DIV/0!</v>
      </c>
      <c r="J677" s="180" t="e">
        <v>#DIV/0!</v>
      </c>
      <c r="K677" s="180" t="e">
        <v>#DIV/0!</v>
      </c>
      <c r="L677" s="180" t="e">
        <v>#DIV/0!</v>
      </c>
      <c r="M677" s="180" t="e"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v>0</v>
      </c>
      <c r="D678" s="180">
        <v>0</v>
      </c>
      <c r="E678" s="180">
        <v>0</v>
      </c>
      <c r="F678" s="180">
        <v>0</v>
      </c>
      <c r="G678" s="180">
        <v>0</v>
      </c>
      <c r="H678" s="180">
        <v>0</v>
      </c>
      <c r="I678" s="180" t="e">
        <v>#DIV/0!</v>
      </c>
      <c r="J678" s="180" t="e">
        <v>#DIV/0!</v>
      </c>
      <c r="K678" s="180" t="e">
        <v>#DIV/0!</v>
      </c>
      <c r="L678" s="180" t="e">
        <v>#DIV/0!</v>
      </c>
      <c r="M678" s="180" t="e"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v>0</v>
      </c>
      <c r="D679" s="180">
        <v>0</v>
      </c>
      <c r="E679" s="180">
        <v>0</v>
      </c>
      <c r="F679" s="180">
        <v>0</v>
      </c>
      <c r="G679" s="180">
        <v>0</v>
      </c>
      <c r="H679" s="180">
        <v>0</v>
      </c>
      <c r="I679" s="180" t="e">
        <v>#DIV/0!</v>
      </c>
      <c r="J679" s="180" t="e">
        <v>#DIV/0!</v>
      </c>
      <c r="K679" s="180" t="e">
        <v>#DIV/0!</v>
      </c>
      <c r="L679" s="180" t="e">
        <v>#DIV/0!</v>
      </c>
      <c r="M679" s="180" t="e"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v>1848969.32</v>
      </c>
      <c r="D680" s="180">
        <v>112923.30049117375</v>
      </c>
      <c r="E680" s="180">
        <v>366107.03026033822</v>
      </c>
      <c r="F680" s="180">
        <v>37910.318878344202</v>
      </c>
      <c r="G680" s="180">
        <v>10594.224416554593</v>
      </c>
      <c r="H680" s="180">
        <v>50752.459635886153</v>
      </c>
      <c r="I680" s="180" t="e">
        <v>#DIV/0!</v>
      </c>
      <c r="J680" s="180" t="e">
        <v>#DIV/0!</v>
      </c>
      <c r="K680" s="180" t="e">
        <v>#DIV/0!</v>
      </c>
      <c r="L680" s="180" t="e">
        <v>#DIV/0!</v>
      </c>
      <c r="M680" s="180" t="e"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v>1219741.5900000001</v>
      </c>
      <c r="D681" s="180">
        <v>31208.357157741193</v>
      </c>
      <c r="E681" s="180">
        <v>233438.65274521944</v>
      </c>
      <c r="F681" s="180">
        <v>116441.80425669195</v>
      </c>
      <c r="G681" s="180">
        <v>0</v>
      </c>
      <c r="H681" s="180">
        <v>31540.892331556497</v>
      </c>
      <c r="I681" s="180" t="e">
        <v>#DIV/0!</v>
      </c>
      <c r="J681" s="180" t="e">
        <v>#DIV/0!</v>
      </c>
      <c r="K681" s="180" t="e">
        <v>#DIV/0!</v>
      </c>
      <c r="L681" s="180" t="e">
        <v>#DIV/0!</v>
      </c>
      <c r="M681" s="180" t="e"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v>243402.16</v>
      </c>
      <c r="D682" s="180">
        <v>49742.299877950762</v>
      </c>
      <c r="E682" s="180">
        <v>54703.425927724085</v>
      </c>
      <c r="F682" s="180">
        <v>7680.6469885850429</v>
      </c>
      <c r="G682" s="180">
        <v>0</v>
      </c>
      <c r="H682" s="180">
        <v>4892.5892965185885</v>
      </c>
      <c r="I682" s="180" t="e">
        <v>#DIV/0!</v>
      </c>
      <c r="J682" s="180" t="e">
        <v>#DIV/0!</v>
      </c>
      <c r="K682" s="180" t="e">
        <v>#DIV/0!</v>
      </c>
      <c r="L682" s="180" t="e">
        <v>#DIV/0!</v>
      </c>
      <c r="M682" s="180" t="e"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v>278957.00000000006</v>
      </c>
      <c r="D683" s="180">
        <v>2038.0967939749351</v>
      </c>
      <c r="E683" s="180">
        <v>52436.244130019288</v>
      </c>
      <c r="F683" s="180">
        <v>4521.3973011032649</v>
      </c>
      <c r="G683" s="180">
        <v>0</v>
      </c>
      <c r="H683" s="180">
        <v>0</v>
      </c>
      <c r="I683" s="180" t="e">
        <v>#DIV/0!</v>
      </c>
      <c r="J683" s="180" t="e">
        <v>#DIV/0!</v>
      </c>
      <c r="K683" s="180" t="e">
        <v>#DIV/0!</v>
      </c>
      <c r="L683" s="180" t="e">
        <v>#DIV/0!</v>
      </c>
      <c r="M683" s="180" t="e"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v>76436.86</v>
      </c>
      <c r="D684" s="180">
        <v>0</v>
      </c>
      <c r="E684" s="180">
        <v>14263.814198974471</v>
      </c>
      <c r="F684" s="180">
        <v>-2267.9786109444722</v>
      </c>
      <c r="G684" s="180">
        <v>0</v>
      </c>
      <c r="H684" s="180">
        <v>0</v>
      </c>
      <c r="I684" s="180" t="e">
        <v>#DIV/0!</v>
      </c>
      <c r="J684" s="180" t="e">
        <v>#DIV/0!</v>
      </c>
      <c r="K684" s="180" t="e">
        <v>#DIV/0!</v>
      </c>
      <c r="L684" s="180" t="e">
        <v>#DIV/0!</v>
      </c>
      <c r="M684" s="180" t="e"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v>-1334.92</v>
      </c>
      <c r="D685" s="180">
        <v>0</v>
      </c>
      <c r="E685" s="180">
        <v>-249.1082293345776</v>
      </c>
      <c r="F685" s="180">
        <v>-475.91404150880442</v>
      </c>
      <c r="G685" s="180">
        <v>0</v>
      </c>
      <c r="H685" s="180">
        <v>0</v>
      </c>
      <c r="I685" s="180" t="e">
        <v>#DIV/0!</v>
      </c>
      <c r="J685" s="180" t="e">
        <v>#DIV/0!</v>
      </c>
      <c r="K685" s="180" t="e">
        <v>#DIV/0!</v>
      </c>
      <c r="L685" s="180" t="e">
        <v>#DIV/0!</v>
      </c>
      <c r="M685" s="180" t="e"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v>1411487.89</v>
      </c>
      <c r="D686" s="180">
        <v>34915.145701783105</v>
      </c>
      <c r="E686" s="180">
        <v>269911.97909075371</v>
      </c>
      <c r="F686" s="180">
        <v>143404.46022843319</v>
      </c>
      <c r="G686" s="180">
        <v>0</v>
      </c>
      <c r="H686" s="180">
        <v>32747.731024697747</v>
      </c>
      <c r="I686" s="180" t="e">
        <v>#DIV/0!</v>
      </c>
      <c r="J686" s="180" t="e">
        <v>#DIV/0!</v>
      </c>
      <c r="K686" s="180" t="e">
        <v>#DIV/0!</v>
      </c>
      <c r="L686" s="180" t="e">
        <v>#DIV/0!</v>
      </c>
      <c r="M686" s="180" t="e"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v>511.01</v>
      </c>
      <c r="D687" s="180">
        <v>0</v>
      </c>
      <c r="E687" s="180">
        <v>95.359119851573496</v>
      </c>
      <c r="F687" s="180">
        <v>0</v>
      </c>
      <c r="G687" s="180">
        <v>0</v>
      </c>
      <c r="H687" s="180">
        <v>65.234523953581174</v>
      </c>
      <c r="I687" s="180" t="e">
        <v>#DIV/0!</v>
      </c>
      <c r="J687" s="180" t="e">
        <v>#DIV/0!</v>
      </c>
      <c r="K687" s="180" t="e">
        <v>#DIV/0!</v>
      </c>
      <c r="L687" s="180" t="e">
        <v>#DIV/0!</v>
      </c>
      <c r="M687" s="180" t="e"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v>135249.54</v>
      </c>
      <c r="D688" s="180">
        <v>0</v>
      </c>
      <c r="E688" s="180">
        <v>25238.795903661736</v>
      </c>
      <c r="F688" s="180">
        <v>82.560882848866541</v>
      </c>
      <c r="G688" s="180">
        <v>0</v>
      </c>
      <c r="H688" s="180">
        <v>521.87619162864939</v>
      </c>
      <c r="I688" s="180" t="e">
        <v>#DIV/0!</v>
      </c>
      <c r="J688" s="180" t="e">
        <v>#DIV/0!</v>
      </c>
      <c r="K688" s="180" t="e">
        <v>#DIV/0!</v>
      </c>
      <c r="L688" s="180" t="e">
        <v>#DIV/0!</v>
      </c>
      <c r="M688" s="180" t="e"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v>101591.90999999999</v>
      </c>
      <c r="D689" s="180">
        <v>0</v>
      </c>
      <c r="E689" s="180">
        <v>18957.975620125373</v>
      </c>
      <c r="F689" s="180">
        <v>8663.0958256741997</v>
      </c>
      <c r="G689" s="180">
        <v>0</v>
      </c>
      <c r="H689" s="180">
        <v>2250.5910763985503</v>
      </c>
      <c r="I689" s="180" t="e">
        <v>#DIV/0!</v>
      </c>
      <c r="J689" s="180" t="e">
        <v>#DIV/0!</v>
      </c>
      <c r="K689" s="180" t="e">
        <v>#DIV/0!</v>
      </c>
      <c r="L689" s="180" t="e">
        <v>#DIV/0!</v>
      </c>
      <c r="M689" s="180" t="e"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v>1099733.74</v>
      </c>
      <c r="D690" s="180">
        <v>51945.992036436161</v>
      </c>
      <c r="E690" s="180">
        <v>214913.92653351318</v>
      </c>
      <c r="F690" s="180">
        <v>3315.1271156189664</v>
      </c>
      <c r="G690" s="180">
        <v>0</v>
      </c>
      <c r="H690" s="180">
        <v>36466.098890051879</v>
      </c>
      <c r="I690" s="180" t="e">
        <v>#DIV/0!</v>
      </c>
      <c r="J690" s="180" t="e">
        <v>#DIV/0!</v>
      </c>
      <c r="K690" s="180" t="e">
        <v>#DIV/0!</v>
      </c>
      <c r="L690" s="180" t="e">
        <v>#DIV/0!</v>
      </c>
      <c r="M690" s="180" t="e"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v>0</v>
      </c>
      <c r="D691" s="180">
        <v>0</v>
      </c>
      <c r="E691" s="180">
        <v>0</v>
      </c>
      <c r="F691" s="180">
        <v>0</v>
      </c>
      <c r="G691" s="180">
        <v>0</v>
      </c>
      <c r="H691" s="180">
        <v>0</v>
      </c>
      <c r="I691" s="180" t="e">
        <v>#DIV/0!</v>
      </c>
      <c r="J691" s="180" t="e">
        <v>#DIV/0!</v>
      </c>
      <c r="K691" s="180" t="e">
        <v>#DIV/0!</v>
      </c>
      <c r="L691" s="180" t="e">
        <v>#DIV/0!</v>
      </c>
      <c r="M691" s="180" t="e"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v>0</v>
      </c>
      <c r="D692" s="180">
        <v>0</v>
      </c>
      <c r="E692" s="180">
        <v>0</v>
      </c>
      <c r="F692" s="180">
        <v>0</v>
      </c>
      <c r="G692" s="180">
        <v>0</v>
      </c>
      <c r="H692" s="180">
        <v>0</v>
      </c>
      <c r="I692" s="180" t="e">
        <v>#DIV/0!</v>
      </c>
      <c r="J692" s="180" t="e">
        <v>#DIV/0!</v>
      </c>
      <c r="K692" s="180" t="e">
        <v>#DIV/0!</v>
      </c>
      <c r="L692" s="180" t="e">
        <v>#DIV/0!</v>
      </c>
      <c r="M692" s="180" t="e"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v>479710.34999999992</v>
      </c>
      <c r="D693" s="180">
        <v>13527.867470008632</v>
      </c>
      <c r="E693" s="180">
        <v>92042.743380949527</v>
      </c>
      <c r="F693" s="180">
        <v>2876.43641713741</v>
      </c>
      <c r="G693" s="180">
        <v>0</v>
      </c>
      <c r="H693" s="180">
        <v>11416.041691876706</v>
      </c>
      <c r="I693" s="180" t="e">
        <v>#DIV/0!</v>
      </c>
      <c r="J693" s="180" t="e">
        <v>#DIV/0!</v>
      </c>
      <c r="K693" s="180" t="e">
        <v>#DIV/0!</v>
      </c>
      <c r="L693" s="180" t="e">
        <v>#DIV/0!</v>
      </c>
      <c r="M693" s="180" t="e"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v>530040.02</v>
      </c>
      <c r="D694" s="180">
        <v>10725.484378293097</v>
      </c>
      <c r="E694" s="180">
        <v>100911.76795680365</v>
      </c>
      <c r="F694" s="180">
        <v>15200.938767322121</v>
      </c>
      <c r="G694" s="180">
        <v>0</v>
      </c>
      <c r="H694" s="180">
        <v>18265.666707002729</v>
      </c>
      <c r="I694" s="180" t="e">
        <v>#DIV/0!</v>
      </c>
      <c r="J694" s="180" t="e">
        <v>#DIV/0!</v>
      </c>
      <c r="K694" s="180" t="e">
        <v>#DIV/0!</v>
      </c>
      <c r="L694" s="180" t="e">
        <v>#DIV/0!</v>
      </c>
      <c r="M694" s="180" t="e"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v>0</v>
      </c>
      <c r="D695" s="180">
        <v>0</v>
      </c>
      <c r="E695" s="180">
        <v>0</v>
      </c>
      <c r="F695" s="180">
        <v>0</v>
      </c>
      <c r="G695" s="180">
        <v>0</v>
      </c>
      <c r="H695" s="180">
        <v>0</v>
      </c>
      <c r="I695" s="180" t="e">
        <v>#DIV/0!</v>
      </c>
      <c r="J695" s="180" t="e">
        <v>#DIV/0!</v>
      </c>
      <c r="K695" s="180" t="e">
        <v>#DIV/0!</v>
      </c>
      <c r="L695" s="180" t="e">
        <v>#DIV/0!</v>
      </c>
      <c r="M695" s="180" t="e"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v>-2565.62</v>
      </c>
      <c r="D696" s="180">
        <v>0</v>
      </c>
      <c r="E696" s="180">
        <v>-478.7680575205847</v>
      </c>
      <c r="F696" s="180">
        <v>0</v>
      </c>
      <c r="G696" s="180">
        <v>0</v>
      </c>
      <c r="H696" s="180">
        <v>0</v>
      </c>
      <c r="I696" s="180" t="e">
        <v>#DIV/0!</v>
      </c>
      <c r="J696" s="180" t="e">
        <v>#DIV/0!</v>
      </c>
      <c r="K696" s="180" t="e">
        <v>#DIV/0!</v>
      </c>
      <c r="L696" s="180" t="e">
        <v>#DIV/0!</v>
      </c>
      <c r="M696" s="180" t="e"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v>0</v>
      </c>
      <c r="D697" s="180">
        <v>0</v>
      </c>
      <c r="E697" s="180">
        <v>0</v>
      </c>
      <c r="F697" s="180">
        <v>0</v>
      </c>
      <c r="G697" s="180">
        <v>0</v>
      </c>
      <c r="H697" s="180">
        <v>0</v>
      </c>
      <c r="I697" s="180" t="e">
        <v>#DIV/0!</v>
      </c>
      <c r="J697" s="180" t="e">
        <v>#DIV/0!</v>
      </c>
      <c r="K697" s="180" t="e">
        <v>#DIV/0!</v>
      </c>
      <c r="L697" s="180" t="e">
        <v>#DIV/0!</v>
      </c>
      <c r="M697" s="180" t="e"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v>3356774.33</v>
      </c>
      <c r="D698" s="180">
        <v>58926.473555800309</v>
      </c>
      <c r="E698" s="180">
        <v>637400.87728888565</v>
      </c>
      <c r="F698" s="180">
        <v>59128.822281785608</v>
      </c>
      <c r="G698" s="180">
        <v>0</v>
      </c>
      <c r="H698" s="180">
        <v>74139.036473245011</v>
      </c>
      <c r="I698" s="180" t="e">
        <v>#DIV/0!</v>
      </c>
      <c r="J698" s="180" t="e">
        <v>#DIV/0!</v>
      </c>
      <c r="K698" s="180" t="e">
        <v>#DIV/0!</v>
      </c>
      <c r="L698" s="180" t="e">
        <v>#DIV/0!</v>
      </c>
      <c r="M698" s="180" t="e"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v>0</v>
      </c>
      <c r="D699" s="180">
        <v>0</v>
      </c>
      <c r="E699" s="180">
        <v>0</v>
      </c>
      <c r="F699" s="180">
        <v>0</v>
      </c>
      <c r="G699" s="180">
        <v>0</v>
      </c>
      <c r="H699" s="180">
        <v>0</v>
      </c>
      <c r="I699" s="180" t="e">
        <v>#DIV/0!</v>
      </c>
      <c r="J699" s="180" t="e">
        <v>#DIV/0!</v>
      </c>
      <c r="K699" s="180" t="e">
        <v>#DIV/0!</v>
      </c>
      <c r="L699" s="180" t="e">
        <v>#DIV/0!</v>
      </c>
      <c r="M699" s="180" t="e"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v>0</v>
      </c>
      <c r="D700" s="180">
        <v>0</v>
      </c>
      <c r="E700" s="180">
        <v>0</v>
      </c>
      <c r="F700" s="180">
        <v>0</v>
      </c>
      <c r="G700" s="180">
        <v>0</v>
      </c>
      <c r="H700" s="180">
        <v>0</v>
      </c>
      <c r="I700" s="180" t="e">
        <v>#DIV/0!</v>
      </c>
      <c r="J700" s="180" t="e">
        <v>#DIV/0!</v>
      </c>
      <c r="K700" s="180" t="e">
        <v>#DIV/0!</v>
      </c>
      <c r="L700" s="180" t="e">
        <v>#DIV/0!</v>
      </c>
      <c r="M700" s="180" t="e"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v>2377059.7299999995</v>
      </c>
      <c r="D701" s="180">
        <v>0</v>
      </c>
      <c r="E701" s="180">
        <v>443580.99388939334</v>
      </c>
      <c r="F701" s="180">
        <v>24898.102698708364</v>
      </c>
      <c r="G701" s="180">
        <v>0</v>
      </c>
      <c r="H701" s="180">
        <v>22505.910763985506</v>
      </c>
      <c r="I701" s="180" t="e">
        <v>#DIV/0!</v>
      </c>
      <c r="J701" s="180" t="e">
        <v>#DIV/0!</v>
      </c>
      <c r="K701" s="180" t="e">
        <v>#DIV/0!</v>
      </c>
      <c r="L701" s="180" t="e">
        <v>#DIV/0!</v>
      </c>
      <c r="M701" s="180" t="e"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v>0</v>
      </c>
      <c r="D702" s="180">
        <v>0</v>
      </c>
      <c r="E702" s="180">
        <v>0</v>
      </c>
      <c r="F702" s="180">
        <v>0</v>
      </c>
      <c r="G702" s="180">
        <v>0</v>
      </c>
      <c r="H702" s="180">
        <v>0</v>
      </c>
      <c r="I702" s="180" t="e">
        <v>#DIV/0!</v>
      </c>
      <c r="J702" s="180" t="e">
        <v>#DIV/0!</v>
      </c>
      <c r="K702" s="180" t="e">
        <v>#DIV/0!</v>
      </c>
      <c r="L702" s="180" t="e">
        <v>#DIV/0!</v>
      </c>
      <c r="M702" s="180" t="e"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v>13279.699999999999</v>
      </c>
      <c r="D703" s="180">
        <v>0</v>
      </c>
      <c r="E703" s="180">
        <v>2478.1129603979189</v>
      </c>
      <c r="F703" s="180">
        <v>0</v>
      </c>
      <c r="G703" s="180">
        <v>0</v>
      </c>
      <c r="H703" s="180">
        <v>32.617261976790587</v>
      </c>
      <c r="I703" s="180" t="e">
        <v>#DIV/0!</v>
      </c>
      <c r="J703" s="180" t="e">
        <v>#DIV/0!</v>
      </c>
      <c r="K703" s="180" t="e">
        <v>#DIV/0!</v>
      </c>
      <c r="L703" s="180" t="e">
        <v>#DIV/0!</v>
      </c>
      <c r="M703" s="180" t="e"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v>0</v>
      </c>
      <c r="D704" s="180">
        <v>0</v>
      </c>
      <c r="E704" s="180">
        <v>0</v>
      </c>
      <c r="F704" s="180">
        <v>0</v>
      </c>
      <c r="G704" s="180">
        <v>0</v>
      </c>
      <c r="H704" s="180">
        <v>0</v>
      </c>
      <c r="I704" s="180" t="e">
        <v>#DIV/0!</v>
      </c>
      <c r="J704" s="180" t="e">
        <v>#DIV/0!</v>
      </c>
      <c r="K704" s="180" t="e">
        <v>#DIV/0!</v>
      </c>
      <c r="L704" s="180" t="e">
        <v>#DIV/0!</v>
      </c>
      <c r="M704" s="180" t="e">
        <v>#DIV/0!</v>
      </c>
      <c r="N704" s="198" t="s">
        <v>724</v>
      </c>
    </row>
    <row r="705" spans="1:82" ht="12.65" customHeight="1" x14ac:dyDescent="0.35">
      <c r="A705" s="196">
        <v>7340</v>
      </c>
      <c r="B705" s="198" t="s">
        <v>725</v>
      </c>
      <c r="C705" s="180">
        <v>0</v>
      </c>
      <c r="D705" s="180">
        <v>0</v>
      </c>
      <c r="E705" s="180">
        <v>0</v>
      </c>
      <c r="F705" s="180">
        <v>0</v>
      </c>
      <c r="G705" s="180">
        <v>0</v>
      </c>
      <c r="H705" s="180">
        <v>0</v>
      </c>
      <c r="I705" s="180" t="e">
        <v>#DIV/0!</v>
      </c>
      <c r="J705" s="180" t="e">
        <v>#DIV/0!</v>
      </c>
      <c r="K705" s="180" t="e">
        <v>#DIV/0!</v>
      </c>
      <c r="L705" s="180" t="e">
        <v>#DIV/0!</v>
      </c>
      <c r="M705" s="180" t="e">
        <v>#DIV/0!</v>
      </c>
      <c r="N705" s="198" t="s">
        <v>726</v>
      </c>
    </row>
    <row r="706" spans="1:82" ht="12.65" customHeight="1" x14ac:dyDescent="0.35">
      <c r="A706" s="196">
        <v>7350</v>
      </c>
      <c r="B706" s="198" t="s">
        <v>727</v>
      </c>
      <c r="C706" s="180">
        <v>0</v>
      </c>
      <c r="D706" s="180">
        <v>0</v>
      </c>
      <c r="E706" s="180">
        <v>0</v>
      </c>
      <c r="F706" s="180">
        <v>0</v>
      </c>
      <c r="G706" s="180">
        <v>0</v>
      </c>
      <c r="H706" s="180">
        <v>0</v>
      </c>
      <c r="I706" s="180" t="e">
        <v>#DIV/0!</v>
      </c>
      <c r="J706" s="180" t="e">
        <v>#DIV/0!</v>
      </c>
      <c r="K706" s="180" t="e">
        <v>#DIV/0!</v>
      </c>
      <c r="L706" s="180" t="e">
        <v>#DIV/0!</v>
      </c>
      <c r="M706" s="180" t="e">
        <v>#DIV/0!</v>
      </c>
      <c r="N706" s="198" t="s">
        <v>728</v>
      </c>
    </row>
    <row r="707" spans="1:82" ht="12.65" customHeight="1" x14ac:dyDescent="0.35">
      <c r="A707" s="196">
        <v>7380</v>
      </c>
      <c r="B707" s="198" t="s">
        <v>729</v>
      </c>
      <c r="C707" s="180">
        <v>0</v>
      </c>
      <c r="D707" s="180">
        <v>0</v>
      </c>
      <c r="E707" s="180">
        <v>0</v>
      </c>
      <c r="F707" s="180">
        <v>0</v>
      </c>
      <c r="G707" s="180">
        <v>0</v>
      </c>
      <c r="H707" s="180">
        <v>0</v>
      </c>
      <c r="I707" s="180" t="e">
        <v>#DIV/0!</v>
      </c>
      <c r="J707" s="180" t="e">
        <v>#DIV/0!</v>
      </c>
      <c r="K707" s="180" t="e">
        <v>#DIV/0!</v>
      </c>
      <c r="L707" s="180" t="e">
        <v>#DIV/0!</v>
      </c>
      <c r="M707" s="180" t="e">
        <v>#DIV/0!</v>
      </c>
      <c r="N707" s="198" t="s">
        <v>730</v>
      </c>
    </row>
    <row r="708" spans="1:82" ht="12.65" customHeight="1" x14ac:dyDescent="0.35">
      <c r="A708" s="196">
        <v>7390</v>
      </c>
      <c r="B708" s="198" t="s">
        <v>731</v>
      </c>
      <c r="C708" s="180">
        <v>0</v>
      </c>
      <c r="D708" s="180">
        <v>0</v>
      </c>
      <c r="E708" s="180">
        <v>0</v>
      </c>
      <c r="F708" s="180">
        <v>0</v>
      </c>
      <c r="G708" s="180">
        <v>0</v>
      </c>
      <c r="H708" s="180">
        <v>0</v>
      </c>
      <c r="I708" s="180" t="e">
        <v>#DIV/0!</v>
      </c>
      <c r="J708" s="180" t="e">
        <v>#DIV/0!</v>
      </c>
      <c r="K708" s="180" t="e">
        <v>#DIV/0!</v>
      </c>
      <c r="L708" s="180" t="e">
        <v>#DIV/0!</v>
      </c>
      <c r="M708" s="180" t="e">
        <v>#DIV/0!</v>
      </c>
      <c r="N708" s="198" t="s">
        <v>732</v>
      </c>
    </row>
    <row r="709" spans="1:82" ht="12.65" customHeight="1" x14ac:dyDescent="0.35">
      <c r="A709" s="196">
        <v>7400</v>
      </c>
      <c r="B709" s="198" t="s">
        <v>733</v>
      </c>
      <c r="C709" s="180">
        <v>0</v>
      </c>
      <c r="D709" s="180">
        <v>0</v>
      </c>
      <c r="E709" s="180">
        <v>0</v>
      </c>
      <c r="F709" s="180">
        <v>0</v>
      </c>
      <c r="G709" s="180">
        <v>0</v>
      </c>
      <c r="H709" s="180">
        <v>0</v>
      </c>
      <c r="I709" s="180" t="e">
        <v>#DIV/0!</v>
      </c>
      <c r="J709" s="180" t="e">
        <v>#DIV/0!</v>
      </c>
      <c r="K709" s="180" t="e">
        <v>#DIV/0!</v>
      </c>
      <c r="L709" s="180" t="e">
        <v>#DIV/0!</v>
      </c>
      <c r="M709" s="180" t="e">
        <v>#DIV/0!</v>
      </c>
      <c r="N709" s="198" t="s">
        <v>734</v>
      </c>
    </row>
    <row r="710" spans="1:82" ht="12.65" customHeight="1" x14ac:dyDescent="0.35">
      <c r="A710" s="196">
        <v>7410</v>
      </c>
      <c r="B710" s="198" t="s">
        <v>129</v>
      </c>
      <c r="C710" s="180">
        <v>0</v>
      </c>
      <c r="D710" s="180">
        <v>0</v>
      </c>
      <c r="E710" s="180">
        <v>0</v>
      </c>
      <c r="F710" s="180">
        <v>0</v>
      </c>
      <c r="G710" s="180">
        <v>0</v>
      </c>
      <c r="H710" s="180">
        <v>0</v>
      </c>
      <c r="I710" s="180" t="e">
        <v>#DIV/0!</v>
      </c>
      <c r="J710" s="180" t="e">
        <v>#DIV/0!</v>
      </c>
      <c r="K710" s="180" t="e">
        <v>#DIV/0!</v>
      </c>
      <c r="L710" s="180" t="e">
        <v>#DIV/0!</v>
      </c>
      <c r="M710" s="180" t="e">
        <v>#DIV/0!</v>
      </c>
      <c r="N710" s="198" t="s">
        <v>735</v>
      </c>
    </row>
    <row r="711" spans="1:82" ht="12.65" customHeight="1" x14ac:dyDescent="0.35">
      <c r="A711" s="196">
        <v>7420</v>
      </c>
      <c r="B711" s="198" t="s">
        <v>736</v>
      </c>
      <c r="C711" s="180">
        <v>0</v>
      </c>
      <c r="D711" s="180">
        <v>0</v>
      </c>
      <c r="E711" s="180">
        <v>0</v>
      </c>
      <c r="F711" s="180">
        <v>0</v>
      </c>
      <c r="G711" s="180">
        <v>0</v>
      </c>
      <c r="H711" s="180">
        <v>0</v>
      </c>
      <c r="I711" s="180" t="e">
        <v>#DIV/0!</v>
      </c>
      <c r="J711" s="180" t="e">
        <v>#DIV/0!</v>
      </c>
      <c r="K711" s="180" t="e">
        <v>#DIV/0!</v>
      </c>
      <c r="L711" s="180" t="e">
        <v>#DIV/0!</v>
      </c>
      <c r="M711" s="180" t="e">
        <v>#DIV/0!</v>
      </c>
      <c r="N711" s="198" t="s">
        <v>737</v>
      </c>
    </row>
    <row r="712" spans="1:82" ht="12.65" customHeight="1" x14ac:dyDescent="0.35">
      <c r="A712" s="196">
        <v>7430</v>
      </c>
      <c r="B712" s="198" t="s">
        <v>738</v>
      </c>
      <c r="C712" s="180">
        <v>0</v>
      </c>
      <c r="D712" s="180">
        <v>0</v>
      </c>
      <c r="E712" s="180">
        <v>0</v>
      </c>
      <c r="F712" s="180">
        <v>0</v>
      </c>
      <c r="G712" s="180">
        <v>0</v>
      </c>
      <c r="H712" s="180">
        <v>0</v>
      </c>
      <c r="I712" s="180" t="e">
        <v>#DIV/0!</v>
      </c>
      <c r="J712" s="180" t="e">
        <v>#DIV/0!</v>
      </c>
      <c r="K712" s="180" t="e">
        <v>#DIV/0!</v>
      </c>
      <c r="L712" s="180" t="e">
        <v>#DIV/0!</v>
      </c>
      <c r="M712" s="180" t="e">
        <v>#DIV/0!</v>
      </c>
      <c r="N712" s="199" t="s">
        <v>739</v>
      </c>
    </row>
    <row r="713" spans="1:82" ht="12.65" customHeight="1" x14ac:dyDescent="0.35">
      <c r="A713" s="180">
        <v>7490</v>
      </c>
      <c r="B713" s="180" t="s">
        <v>740</v>
      </c>
      <c r="C713" s="180">
        <v>4764.26</v>
      </c>
      <c r="D713" s="180">
        <v>0</v>
      </c>
      <c r="E713" s="180">
        <v>889.05430489434173</v>
      </c>
      <c r="F713" s="180">
        <v>0</v>
      </c>
      <c r="G713" s="180">
        <v>0</v>
      </c>
      <c r="H713" s="180">
        <v>0</v>
      </c>
      <c r="I713" s="180" t="e">
        <v>#DIV/0!</v>
      </c>
      <c r="J713" s="180" t="e">
        <v>#DIV/0!</v>
      </c>
      <c r="K713" s="180" t="e">
        <v>#DIV/0!</v>
      </c>
      <c r="L713" s="180" t="e">
        <v>#DIV/0!</v>
      </c>
      <c r="M713" s="180" t="e">
        <v>#DIV/0!</v>
      </c>
      <c r="N713" s="180" t="s">
        <v>741</v>
      </c>
    </row>
    <row r="714" spans="1:82" ht="12.65" customHeight="1" x14ac:dyDescent="0.35">
      <c r="N714" s="198"/>
    </row>
    <row r="715" spans="1:82" ht="12.65" customHeight="1" x14ac:dyDescent="0.35">
      <c r="C715" s="180">
        <v>25592232.540000003</v>
      </c>
      <c r="D715" s="180">
        <v>855822.31999999983</v>
      </c>
      <c r="E715" s="180">
        <v>4024698.306946387</v>
      </c>
      <c r="F715" s="180">
        <v>548529.63570374739</v>
      </c>
      <c r="G715" s="180">
        <v>116279.96154963027</v>
      </c>
      <c r="H715" s="180">
        <v>539854.82643025648</v>
      </c>
      <c r="I715" s="180" t="e">
        <v>#DIV/0!</v>
      </c>
      <c r="J715" s="180" t="e">
        <v>#DIV/0!</v>
      </c>
      <c r="K715" s="180" t="e">
        <v>#DIV/0!</v>
      </c>
      <c r="L715" s="180" t="e">
        <v>#DIV/0!</v>
      </c>
      <c r="M715" s="180" t="e">
        <v>#DIV/0!</v>
      </c>
      <c r="N715" s="198" t="s">
        <v>742</v>
      </c>
    </row>
    <row r="716" spans="1:82" ht="12.65" customHeight="1" x14ac:dyDescent="0.35">
      <c r="C716" s="180">
        <v>25592232.540000003</v>
      </c>
      <c r="D716" s="180">
        <v>855822.32</v>
      </c>
      <c r="E716" s="180">
        <v>4024698.3069463875</v>
      </c>
      <c r="F716" s="180">
        <v>548529.63570374763</v>
      </c>
      <c r="G716" s="180">
        <v>116279.96154963027</v>
      </c>
      <c r="H716" s="180">
        <v>539854.82643025601</v>
      </c>
      <c r="I716" s="180">
        <v>551525.31176341348</v>
      </c>
      <c r="J716" s="180" t="e">
        <v>#DIV/0!</v>
      </c>
      <c r="K716" s="180" t="e">
        <v>#DIV/0!</v>
      </c>
      <c r="L716" s="180" t="e">
        <v>#DIV/0!</v>
      </c>
      <c r="M716" s="180">
        <v>7711695.1500000013</v>
      </c>
      <c r="N716" s="180" t="s">
        <v>743</v>
      </c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2" t="str">
        <f>RIGHT(C84,3)&amp;"*"&amp;RIGHT(C83,4)&amp;"*"&amp;"A"</f>
        <v>TAL*199*A</v>
      </c>
      <c r="B721" s="280">
        <f>ROUND(C166,0)</f>
        <v>66857</v>
      </c>
      <c r="C721" s="280">
        <f>ROUND(C167,0)</f>
        <v>-32305</v>
      </c>
      <c r="D721" s="280">
        <f>ROUND(C168,0)</f>
        <v>518874</v>
      </c>
      <c r="E721" s="280">
        <f>ROUND(C169,0)</f>
        <v>0</v>
      </c>
      <c r="F721" s="280">
        <f>ROUND(C170,0)</f>
        <v>366081</v>
      </c>
      <c r="G721" s="280">
        <f>ROUND(C171,0)</f>
        <v>0</v>
      </c>
      <c r="H721" s="280">
        <f>ROUND(C172+C173,0)</f>
        <v>0</v>
      </c>
      <c r="I721" s="280">
        <f>ROUND(C176,0)</f>
        <v>6956</v>
      </c>
      <c r="J721" s="280">
        <f>ROUND(C177,0)</f>
        <v>0</v>
      </c>
      <c r="K721" s="280">
        <f>ROUND(C180,0)</f>
        <v>5730</v>
      </c>
      <c r="L721" s="280">
        <f>ROUND(C181,0)</f>
        <v>0</v>
      </c>
      <c r="M721" s="280">
        <f>ROUND(C184,0)</f>
        <v>223618</v>
      </c>
      <c r="N721" s="280">
        <f>ROUND(C185,0)</f>
        <v>923227</v>
      </c>
      <c r="O721" s="280">
        <f>ROUND(C186,0)</f>
        <v>0</v>
      </c>
      <c r="P721" s="280">
        <f>ROUND(C189,0)</f>
        <v>0</v>
      </c>
      <c r="Q721" s="280">
        <f>ROUND(C190,0)</f>
        <v>0</v>
      </c>
      <c r="R721" s="280">
        <f>ROUND(B196,0)</f>
        <v>11950</v>
      </c>
      <c r="S721" s="280">
        <f>ROUND(C196,0)</f>
        <v>15003</v>
      </c>
      <c r="T721" s="280">
        <f>ROUND(D196,0)</f>
        <v>0</v>
      </c>
      <c r="U721" s="280">
        <f>ROUND(B197,0)</f>
        <v>6732357</v>
      </c>
      <c r="V721" s="280">
        <f>ROUND(C197,0)</f>
        <v>11660</v>
      </c>
      <c r="W721" s="280">
        <f>ROUND(D197,0)</f>
        <v>0</v>
      </c>
      <c r="X721" s="280">
        <f>ROUND(B198,0)</f>
        <v>82397</v>
      </c>
      <c r="Y721" s="280">
        <f>ROUND(C198,0)</f>
        <v>0</v>
      </c>
      <c r="Z721" s="280">
        <f>ROUND(D198,0)</f>
        <v>0</v>
      </c>
      <c r="AA721" s="280">
        <f>ROUND(B199,0)</f>
        <v>0</v>
      </c>
      <c r="AB721" s="280">
        <f>ROUND(C199,0)</f>
        <v>0</v>
      </c>
      <c r="AC721" s="280">
        <f>ROUND(D199,0)</f>
        <v>0</v>
      </c>
      <c r="AD721" s="280">
        <f>ROUND(B200,0)</f>
        <v>1449766</v>
      </c>
      <c r="AE721" s="280">
        <f>ROUND(C200,0)</f>
        <v>146131</v>
      </c>
      <c r="AF721" s="280">
        <f>ROUND(D200,0)</f>
        <v>0</v>
      </c>
      <c r="AG721" s="280">
        <f>ROUND(B201,0)</f>
        <v>127090</v>
      </c>
      <c r="AH721" s="280">
        <f>ROUND(C201,0)</f>
        <v>106850</v>
      </c>
      <c r="AI721" s="280">
        <f>ROUND(D201,0)</f>
        <v>0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747864</v>
      </c>
      <c r="AN721" s="280">
        <f>ROUND(C203,0)</f>
        <v>459335</v>
      </c>
      <c r="AO721" s="280">
        <f>ROUND(D203,0)</f>
        <v>0</v>
      </c>
      <c r="AP721" s="280">
        <f>ROUND(B204,0)</f>
        <v>9701424</v>
      </c>
      <c r="AQ721" s="280">
        <f>ROUND(C204,0)</f>
        <v>738980</v>
      </c>
      <c r="AR721" s="280">
        <f>ROUND(D204,0)</f>
        <v>0</v>
      </c>
      <c r="AS721" s="280"/>
      <c r="AT721" s="280"/>
      <c r="AU721" s="280"/>
      <c r="AV721" s="280">
        <f>ROUND(B210,0)</f>
        <v>622019</v>
      </c>
      <c r="AW721" s="280">
        <f>ROUND(C210,0)</f>
        <v>421478</v>
      </c>
      <c r="AX721" s="280">
        <f>ROUND(D210,0)</f>
        <v>0</v>
      </c>
      <c r="AY721" s="280">
        <f>ROUND(B211,0)</f>
        <v>0</v>
      </c>
      <c r="AZ721" s="280">
        <f>ROUND(C211,0)</f>
        <v>0</v>
      </c>
      <c r="BA721" s="280">
        <f>ROUND(D211,0)</f>
        <v>0</v>
      </c>
      <c r="BB721" s="280">
        <f>ROUND(B212,0)</f>
        <v>0</v>
      </c>
      <c r="BC721" s="280">
        <f>ROUND(C212,0)</f>
        <v>0</v>
      </c>
      <c r="BD721" s="280">
        <f>ROUND(D212,0)</f>
        <v>0</v>
      </c>
      <c r="BE721" s="280">
        <f>ROUND(B213,0)</f>
        <v>632291</v>
      </c>
      <c r="BF721" s="280">
        <f>ROUND(C213,0)</f>
        <v>359157</v>
      </c>
      <c r="BG721" s="280">
        <f>ROUND(D213,0)</f>
        <v>0</v>
      </c>
      <c r="BH721" s="280">
        <f>ROUND(B214,0)</f>
        <v>-103276</v>
      </c>
      <c r="BI721" s="280">
        <f>ROUND(C214,0)</f>
        <v>74899</v>
      </c>
      <c r="BJ721" s="280">
        <f>ROUND(D214,0)</f>
        <v>0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1151100</v>
      </c>
      <c r="BR721" s="280">
        <f>ROUND(C217,0)</f>
        <v>856331</v>
      </c>
      <c r="BS721" s="280">
        <f>ROUND(D217,0)</f>
        <v>0</v>
      </c>
      <c r="BT721" s="280">
        <f>ROUND(C222,0)</f>
        <v>0</v>
      </c>
      <c r="BU721" s="280">
        <f>ROUND(C223,0)</f>
        <v>14308681</v>
      </c>
      <c r="BV721" s="280">
        <f>ROUND(C224,0)</f>
        <v>55807444</v>
      </c>
      <c r="BW721" s="280">
        <f>ROUND(C225,0)</f>
        <v>1469077</v>
      </c>
      <c r="BX721" s="280">
        <f>ROUND(C226,0)</f>
        <v>440966</v>
      </c>
      <c r="BY721" s="280">
        <f>ROUND(C227,0)</f>
        <v>0</v>
      </c>
      <c r="BZ721" s="280">
        <f>ROUND(C230,0)</f>
        <v>0</v>
      </c>
      <c r="CA721" s="280">
        <f>ROUND(C232,0)</f>
        <v>0</v>
      </c>
      <c r="CB721" s="280">
        <f>ROUND(C233,0)</f>
        <v>69524</v>
      </c>
      <c r="CC721" s="280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2" t="str">
        <f>RIGHT(C84,3)&amp;"*"&amp;RIGHT(C83,4)&amp;"*"&amp;"A"</f>
        <v>TAL*199*A</v>
      </c>
      <c r="B725" s="280">
        <f>ROUND(C112,0)</f>
        <v>0</v>
      </c>
      <c r="C725" s="280">
        <f>ROUND(C113,0)</f>
        <v>0</v>
      </c>
      <c r="D725" s="280">
        <f>ROUND(C114,0)</f>
        <v>362</v>
      </c>
      <c r="E725" s="280">
        <f>ROUND(C115,0)</f>
        <v>0</v>
      </c>
      <c r="F725" s="280">
        <f>ROUND(D112,0)</f>
        <v>0</v>
      </c>
      <c r="G725" s="280">
        <f>ROUND(D113,0)</f>
        <v>0</v>
      </c>
      <c r="H725" s="280">
        <f>ROUND(D114,0)</f>
        <v>429</v>
      </c>
      <c r="I725" s="280">
        <f>ROUND(D115,0)</f>
        <v>0</v>
      </c>
      <c r="J725" s="280">
        <f>ROUND(C117,0)</f>
        <v>0</v>
      </c>
      <c r="K725" s="280">
        <f>ROUND(C118,0)</f>
        <v>13</v>
      </c>
      <c r="L725" s="280">
        <f>ROUND(C119,0)</f>
        <v>0</v>
      </c>
      <c r="M725" s="280">
        <f>ROUND(C120,0)</f>
        <v>16</v>
      </c>
      <c r="N725" s="280">
        <f>ROUND(C121,0)</f>
        <v>0</v>
      </c>
      <c r="O725" s="280">
        <f>ROUND(C122,0)</f>
        <v>15</v>
      </c>
      <c r="P725" s="280">
        <f>ROUND(C123,0)</f>
        <v>0</v>
      </c>
      <c r="Q725" s="280">
        <f>ROUND(C124,0)</f>
        <v>0</v>
      </c>
      <c r="R725" s="280">
        <f>ROUND(C125,0)</f>
        <v>0</v>
      </c>
      <c r="S725" s="280">
        <f>ROUND(C126,0)</f>
        <v>0</v>
      </c>
      <c r="T725" s="280"/>
      <c r="U725" s="280">
        <f>ROUND(C127,0)</f>
        <v>0</v>
      </c>
      <c r="V725" s="280">
        <f>ROUND(C129,0)</f>
        <v>16</v>
      </c>
      <c r="W725" s="280">
        <f>ROUND(C130,0)</f>
        <v>0</v>
      </c>
      <c r="X725" s="280">
        <f>ROUND(B139,0)</f>
        <v>1493</v>
      </c>
      <c r="Y725" s="280">
        <f>ROUND(B140,0)</f>
        <v>5276</v>
      </c>
      <c r="Z725" s="280">
        <f>ROUND(B141,0)</f>
        <v>8160416</v>
      </c>
      <c r="AA725" s="280">
        <f>ROUND(B142,0)</f>
        <v>9062401</v>
      </c>
      <c r="AB725" s="280">
        <f>ROUND(B143,0)</f>
        <v>0</v>
      </c>
      <c r="AC725" s="280">
        <f>ROUND(C139,0)</f>
        <v>489</v>
      </c>
      <c r="AD725" s="280">
        <f>ROUND(C140,0)</f>
        <v>1958</v>
      </c>
      <c r="AE725" s="280">
        <f>ROUND(C141,0)</f>
        <v>21301235</v>
      </c>
      <c r="AF725" s="280">
        <f>ROUND(C142,0)</f>
        <v>38372947</v>
      </c>
      <c r="AG725" s="280">
        <f>ROUND(C143,0)</f>
        <v>0</v>
      </c>
      <c r="AH725" s="280">
        <f>ROUND(D139,0)</f>
        <v>5385</v>
      </c>
      <c r="AI725" s="280">
        <f>ROUND(D140,0)</f>
        <v>19183</v>
      </c>
      <c r="AJ725" s="280">
        <f>ROUND(D141,0)</f>
        <v>8433681</v>
      </c>
      <c r="AK725" s="280">
        <f>ROUND(D142,0)</f>
        <v>31031432</v>
      </c>
      <c r="AL725" s="280">
        <f>ROUND(D143,0)</f>
        <v>0</v>
      </c>
      <c r="AM725" s="280">
        <f>ROUND(B145,0)</f>
        <v>0</v>
      </c>
      <c r="AN725" s="280">
        <f>ROUND(B146,0)</f>
        <v>0</v>
      </c>
      <c r="AO725" s="280">
        <f>ROUND(B147,0)</f>
        <v>0</v>
      </c>
      <c r="AP725" s="280">
        <f>ROUND(B148,0)</f>
        <v>0</v>
      </c>
      <c r="AQ725" s="280">
        <f>ROUND(B149,0)</f>
        <v>0</v>
      </c>
      <c r="AR725" s="280">
        <f>ROUND(C145,0)</f>
        <v>0</v>
      </c>
      <c r="AS725" s="280">
        <f>ROUND(C146,0)</f>
        <v>0</v>
      </c>
      <c r="AT725" s="280">
        <f>ROUND(C147,0)</f>
        <v>0</v>
      </c>
      <c r="AU725" s="280">
        <f>ROUND(C148,0)</f>
        <v>0</v>
      </c>
      <c r="AV725" s="280">
        <f>ROUND(C149,0)</f>
        <v>0</v>
      </c>
      <c r="AW725" s="280">
        <f>ROUND(D145,0)</f>
        <v>0</v>
      </c>
      <c r="AX725" s="280">
        <f>ROUND(D146,0)</f>
        <v>0</v>
      </c>
      <c r="AY725" s="280">
        <f>ROUND(D147,0)</f>
        <v>0</v>
      </c>
      <c r="AZ725" s="280">
        <f>ROUND(D148,0)</f>
        <v>0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0</v>
      </c>
      <c r="BR725" s="280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2" t="str">
        <f>RIGHT(C84,3)&amp;"*"&amp;RIGHT(C83,4)&amp;"*"&amp;"A"</f>
        <v>TAL*199*A</v>
      </c>
      <c r="B729" s="280">
        <f>ROUND(C249,0)</f>
        <v>0</v>
      </c>
      <c r="C729" s="280">
        <f>ROUND(C250,0)</f>
        <v>-333275</v>
      </c>
      <c r="D729" s="280">
        <f>ROUND(C251,0)</f>
        <v>1610940</v>
      </c>
      <c r="E729" s="280">
        <f>ROUND(C252,0)</f>
        <v>46895732</v>
      </c>
      <c r="F729" s="280">
        <f>ROUND(C253,0)</f>
        <v>33395221</v>
      </c>
      <c r="G729" s="280">
        <f>ROUND(C254,0)</f>
        <v>34889</v>
      </c>
      <c r="H729" s="280">
        <f>ROUND(C255,0)</f>
        <v>0</v>
      </c>
      <c r="I729" s="280">
        <f>ROUND(C256,0)</f>
        <v>0</v>
      </c>
      <c r="J729" s="280">
        <f>ROUND(C257,0)</f>
        <v>488426</v>
      </c>
      <c r="K729" s="280">
        <f>ROUND(C258,0)</f>
        <v>442579</v>
      </c>
      <c r="L729" s="280">
        <f>ROUND(C261,0)</f>
        <v>0</v>
      </c>
      <c r="M729" s="280">
        <f>ROUND(C262,0)</f>
        <v>0</v>
      </c>
      <c r="N729" s="280">
        <f>ROUND(C263,0)</f>
        <v>0</v>
      </c>
      <c r="O729" s="280">
        <f>ROUND(C266,0)</f>
        <v>0</v>
      </c>
      <c r="P729" s="280">
        <f>ROUND(C267,0)</f>
        <v>550000</v>
      </c>
      <c r="Q729" s="280">
        <f>ROUND(C268,0)</f>
        <v>26953</v>
      </c>
      <c r="R729" s="280">
        <f>ROUND(C269,0)</f>
        <v>6744017</v>
      </c>
      <c r="S729" s="280">
        <f>ROUND(C270,0)</f>
        <v>82397</v>
      </c>
      <c r="T729" s="280">
        <f>ROUND(C271,0)</f>
        <v>0</v>
      </c>
      <c r="U729" s="280">
        <f>ROUND(C272,0)</f>
        <v>1829837</v>
      </c>
      <c r="V729" s="280">
        <f>ROUND(C273,0)</f>
        <v>0</v>
      </c>
      <c r="W729" s="280">
        <f>ROUND(C274,0)</f>
        <v>1207200</v>
      </c>
      <c r="X729" s="280">
        <f>ROUND(C275,0)</f>
        <v>0</v>
      </c>
      <c r="Y729" s="280">
        <f>ROUND(C278,0)</f>
        <v>0</v>
      </c>
      <c r="Z729" s="280">
        <f>ROUND(C279,0)</f>
        <v>0</v>
      </c>
      <c r="AA729" s="280">
        <f>ROUND(C280,0)</f>
        <v>0</v>
      </c>
      <c r="AB729" s="280">
        <f>ROUND(C281,0)</f>
        <v>0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0</v>
      </c>
      <c r="AI729" s="280">
        <f>ROUND(C305,0)</f>
        <v>1961254</v>
      </c>
      <c r="AJ729" s="280">
        <f>ROUND(C306,0)</f>
        <v>-1329418</v>
      </c>
      <c r="AK729" s="280">
        <f>ROUND(C307,0)</f>
        <v>0</v>
      </c>
      <c r="AL729" s="280">
        <f>ROUND(C308,0)</f>
        <v>0</v>
      </c>
      <c r="AM729" s="280">
        <f>ROUND(C309,0)</f>
        <v>0</v>
      </c>
      <c r="AN729" s="280">
        <f>ROUND(C310,0)</f>
        <v>0</v>
      </c>
      <c r="AO729" s="280">
        <f>ROUND(C311,0)</f>
        <v>0</v>
      </c>
      <c r="AP729" s="280">
        <f>ROUND(C312,0)</f>
        <v>832210</v>
      </c>
      <c r="AQ729" s="280">
        <f>ROUND(C315,0)</f>
        <v>0</v>
      </c>
      <c r="AR729" s="280">
        <f>ROUND(C316,0)</f>
        <v>0</v>
      </c>
      <c r="AS729" s="280">
        <f>ROUND(C317,0)</f>
        <v>0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804284</v>
      </c>
      <c r="AX729" s="280">
        <f>ROUND(C324,0)</f>
        <v>0</v>
      </c>
      <c r="AY729" s="280">
        <f>ROUND(C325,0)</f>
        <v>10436306</v>
      </c>
      <c r="AZ729" s="280">
        <f>ROUND(C326,0)</f>
        <v>24665964</v>
      </c>
      <c r="BA729" s="280">
        <f>ROUND(C327,0)</f>
        <v>0</v>
      </c>
      <c r="BB729" s="280">
        <f>ROUND(C331,0)</f>
        <v>0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176.69</v>
      </c>
      <c r="BJ729" s="280">
        <f>ROUND(C358,0)</f>
        <v>0</v>
      </c>
      <c r="BK729" s="280">
        <f>ROUND(C359,0)</f>
        <v>37895332</v>
      </c>
      <c r="BL729" s="280">
        <f>ROUND(C362,0)</f>
        <v>0</v>
      </c>
      <c r="BM729" s="280">
        <f>ROUND(C363,0)</f>
        <v>203580</v>
      </c>
      <c r="BN729" s="280">
        <f>ROUND(C364,0)</f>
        <v>96372362</v>
      </c>
      <c r="BO729" s="280">
        <f>ROUND(C368,0)</f>
        <v>0</v>
      </c>
      <c r="BP729" s="280">
        <f>ROUND(C369,0)</f>
        <v>0</v>
      </c>
      <c r="BQ729" s="280">
        <f>ROUND(C376,0)</f>
        <v>0</v>
      </c>
      <c r="BR729" s="280">
        <f>ROUND(C377,0)</f>
        <v>0</v>
      </c>
      <c r="BS729" s="280">
        <f>ROUND(C378,0)</f>
        <v>10317197</v>
      </c>
      <c r="BT729" s="280">
        <f>ROUND(C379,0)</f>
        <v>1678518</v>
      </c>
      <c r="BU729" s="280">
        <f>ROUND(C380,0)</f>
        <v>2122158</v>
      </c>
      <c r="BV729" s="280">
        <f>ROUND(C381,0)</f>
        <v>1837354</v>
      </c>
      <c r="BW729" s="280">
        <f>ROUND(C382,0)</f>
        <v>424775</v>
      </c>
      <c r="BX729" s="280">
        <f>ROUND(C383,0)</f>
        <v>5938814</v>
      </c>
      <c r="BY729" s="280">
        <f>ROUND(C384,0)</f>
        <v>1477526</v>
      </c>
      <c r="BZ729" s="280">
        <f>ROUND(C385,0)</f>
        <v>236373</v>
      </c>
      <c r="CA729" s="280">
        <f>ROUND(C386,0)</f>
        <v>158948</v>
      </c>
      <c r="CB729" s="280">
        <f>ROUND(C387,0)</f>
        <v>29833</v>
      </c>
      <c r="CC729" s="280">
        <f>ROUND(C388,0)</f>
        <v>-381749</v>
      </c>
      <c r="CD729" s="280">
        <f>ROUND(C391,0)</f>
        <v>0</v>
      </c>
      <c r="CE729" s="280">
        <f>ROUND(C393,0)</f>
        <v>0</v>
      </c>
      <c r="CF729" s="280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1261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TAL*199*6010*A</v>
      </c>
      <c r="B733" s="280">
        <f>ROUND(C59,0)</f>
        <v>187</v>
      </c>
      <c r="C733" s="283">
        <f>ROUND(C60,2)</f>
        <v>6.82</v>
      </c>
      <c r="D733" s="280">
        <f>ROUND(C61,0)</f>
        <v>487070</v>
      </c>
      <c r="E733" s="280">
        <f>ROUND(C62,0)</f>
        <v>138909</v>
      </c>
      <c r="F733" s="280">
        <f>ROUND(C63,0)</f>
        <v>0</v>
      </c>
      <c r="G733" s="280">
        <f>ROUND(C64,0)</f>
        <v>74994</v>
      </c>
      <c r="H733" s="280">
        <f>ROUND(C65,0)</f>
        <v>0</v>
      </c>
      <c r="I733" s="280">
        <f>ROUND(C66,0)</f>
        <v>62671</v>
      </c>
      <c r="J733" s="280">
        <f>ROUND(C67,0)</f>
        <v>63059</v>
      </c>
      <c r="K733" s="280">
        <f>ROUND(C68,0)</f>
        <v>1978</v>
      </c>
      <c r="L733" s="280">
        <f>ROUND(C70,0)</f>
        <v>0</v>
      </c>
      <c r="M733" s="280">
        <f>ROUND(C71,0)</f>
        <v>831362</v>
      </c>
      <c r="N733" s="280">
        <f>ROUND(C76,0)</f>
        <v>3000</v>
      </c>
      <c r="O733" s="280">
        <f>ROUND(C74,0)</f>
        <v>16487</v>
      </c>
      <c r="P733" s="280">
        <f>IF(C77&gt;0,ROUND(C77,0),0)</f>
        <v>609</v>
      </c>
      <c r="Q733" s="280">
        <f>IF(C78&gt;0,ROUND(C78,0),0)</f>
        <v>0</v>
      </c>
      <c r="R733" s="280">
        <f>IF(C79&gt;0,ROUND(C79,0),0)</f>
        <v>36033</v>
      </c>
      <c r="S733" s="280">
        <f>IF(C80&gt;0,ROUND(C80,0),0)</f>
        <v>7</v>
      </c>
      <c r="T733" s="283">
        <f>IF(C81&gt;0,ROUND(C81,2),0)</f>
        <v>0</v>
      </c>
      <c r="U733" s="280"/>
      <c r="X733" s="280"/>
      <c r="Y733" s="280"/>
      <c r="Z733" s="280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TAL*199*6030*A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>
        <f>ROUND(D62,0)</f>
        <v>0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>
        <f>ROUND(D67,0)</f>
        <v>0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 t="e">
        <f t="shared" ref="Z734:Z778" si="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TAL*199*6070*A</v>
      </c>
      <c r="B735" s="280">
        <f>ROUND(E59,0)</f>
        <v>2938</v>
      </c>
      <c r="C735" s="283">
        <f>ROUND(E60,2)</f>
        <v>29.96</v>
      </c>
      <c r="D735" s="280">
        <f>ROUND(E61,0)</f>
        <v>1518447</v>
      </c>
      <c r="E735" s="280">
        <f>ROUND(E62,0)</f>
        <v>403363</v>
      </c>
      <c r="F735" s="280">
        <f>ROUND(E63,0)</f>
        <v>3400</v>
      </c>
      <c r="G735" s="280">
        <f>ROUND(E64,0)</f>
        <v>19297</v>
      </c>
      <c r="H735" s="280">
        <f>ROUND(E65,0)</f>
        <v>0</v>
      </c>
      <c r="I735" s="280">
        <f>ROUND(E66,0)</f>
        <v>175020</v>
      </c>
      <c r="J735" s="280">
        <f>ROUND(E67,0)</f>
        <v>196386</v>
      </c>
      <c r="K735" s="280">
        <f>ROUND(E68,0)</f>
        <v>1978</v>
      </c>
      <c r="L735" s="280">
        <f>ROUND(E70,0)</f>
        <v>0</v>
      </c>
      <c r="M735" s="280">
        <f>ROUND(E71,0)</f>
        <v>2317658</v>
      </c>
      <c r="N735" s="280">
        <f>ROUND(E76,0)</f>
        <v>9343</v>
      </c>
      <c r="O735" s="280">
        <f>ROUND(E74,0)</f>
        <v>157693</v>
      </c>
      <c r="P735" s="280">
        <f>IF(E77&gt;0,ROUND(E77,0),0)</f>
        <v>9582</v>
      </c>
      <c r="Q735" s="280">
        <f>IF(E78&gt;0,ROUND(E78,0),0)</f>
        <v>0</v>
      </c>
      <c r="R735" s="280">
        <f>IF(E79&gt;0,ROUND(E79,0),0)</f>
        <v>9627</v>
      </c>
      <c r="S735" s="280">
        <f>IF(E80&gt;0,ROUND(E80,0),0)</f>
        <v>21</v>
      </c>
      <c r="T735" s="283">
        <f>IF(E81&gt;0,ROUND(E81,2),0)</f>
        <v>0</v>
      </c>
      <c r="U735" s="280"/>
      <c r="X735" s="280"/>
      <c r="Y735" s="280"/>
      <c r="Z735" s="280" t="e">
        <f t="shared" si="0"/>
        <v>#DIV/0!</v>
      </c>
    </row>
    <row r="736" spans="1:84" ht="12.65" customHeight="1" x14ac:dyDescent="0.35">
      <c r="A736" s="209" t="str">
        <f>RIGHT($C$84,3)&amp;"*"&amp;RIGHT($C$83,4)&amp;"*"&amp;F$55&amp;"*"&amp;"A"</f>
        <v>TAL*199*6100*A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>
        <f>ROUND(F62,0)</f>
        <v>0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>
        <f>ROUND(F67,0)</f>
        <v>0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39286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 t="e">
        <f t="shared" si="0"/>
        <v>#DIV/0!</v>
      </c>
    </row>
    <row r="737" spans="1:26" ht="12.65" customHeight="1" x14ac:dyDescent="0.35">
      <c r="A737" s="209" t="str">
        <f>RIGHT($C$84,3)&amp;"*"&amp;RIGHT($C$83,4)&amp;"*"&amp;G$55&amp;"*"&amp;"A"</f>
        <v>TAL*199*6120*A</v>
      </c>
      <c r="B737" s="280">
        <f>ROUND(G59,0)</f>
        <v>0</v>
      </c>
      <c r="C737" s="283">
        <f>ROUND(G60,2)</f>
        <v>0</v>
      </c>
      <c r="D737" s="280">
        <f>ROUND(G61,0)</f>
        <v>0</v>
      </c>
      <c r="E737" s="280">
        <f>ROUND(G62,0)</f>
        <v>0</v>
      </c>
      <c r="F737" s="280">
        <f>ROUND(G63,0)</f>
        <v>0</v>
      </c>
      <c r="G737" s="280">
        <f>ROUND(G64,0)</f>
        <v>0</v>
      </c>
      <c r="H737" s="280">
        <f>ROUND(G65,0)</f>
        <v>0</v>
      </c>
      <c r="I737" s="280">
        <f>ROUND(G66,0)</f>
        <v>0</v>
      </c>
      <c r="J737" s="280">
        <f>ROUND(G67,0)</f>
        <v>0</v>
      </c>
      <c r="K737" s="280">
        <f>ROUND(G68,0)</f>
        <v>0</v>
      </c>
      <c r="L737" s="280">
        <f>ROUND(G70,0)</f>
        <v>0</v>
      </c>
      <c r="M737" s="280">
        <f>ROUND(G71,0)</f>
        <v>0</v>
      </c>
      <c r="N737" s="280">
        <f>ROUND(G76,0)</f>
        <v>0</v>
      </c>
      <c r="O737" s="280">
        <f>ROUND(G74,0)</f>
        <v>0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 t="e">
        <f t="shared" si="0"/>
        <v>#DIV/0!</v>
      </c>
    </row>
    <row r="738" spans="1:26" ht="12.65" customHeight="1" x14ac:dyDescent="0.35">
      <c r="A738" s="209" t="str">
        <f>RIGHT($C$84,3)&amp;"*"&amp;RIGHT($C$83,4)&amp;"*"&amp;H$55&amp;"*"&amp;"A"</f>
        <v>TAL*199*6140*A</v>
      </c>
      <c r="B738" s="280">
        <f>ROUND(H59,0)</f>
        <v>3571</v>
      </c>
      <c r="C738" s="283">
        <f>ROUND(H60,2)</f>
        <v>13.15</v>
      </c>
      <c r="D738" s="280">
        <f>ROUND(H61,0)</f>
        <v>468</v>
      </c>
      <c r="E738" s="280">
        <f>ROUND(H62,0)</f>
        <v>0</v>
      </c>
      <c r="F738" s="280">
        <f>ROUND(H63,0)</f>
        <v>0</v>
      </c>
      <c r="G738" s="280">
        <f>ROUND(H64,0)</f>
        <v>7853</v>
      </c>
      <c r="H738" s="280">
        <f>ROUND(H65,0)</f>
        <v>0</v>
      </c>
      <c r="I738" s="280">
        <f>ROUND(H66,0)</f>
        <v>1447233</v>
      </c>
      <c r="J738" s="280">
        <f>ROUND(H67,0)</f>
        <v>81388</v>
      </c>
      <c r="K738" s="280">
        <f>ROUND(H68,0)</f>
        <v>0</v>
      </c>
      <c r="L738" s="280">
        <f>ROUND(H70,0)</f>
        <v>0</v>
      </c>
      <c r="M738" s="280">
        <f>ROUND(H71,0)</f>
        <v>1542942</v>
      </c>
      <c r="N738" s="280">
        <f>ROUND(H76,0)</f>
        <v>3872</v>
      </c>
      <c r="O738" s="280">
        <f>ROUND(H74,0)</f>
        <v>0</v>
      </c>
      <c r="P738" s="280">
        <f>IF(H77&gt;0,ROUND(H77,0),0)</f>
        <v>11646</v>
      </c>
      <c r="Q738" s="280">
        <f>IF(H78&gt;0,ROUND(H78,0),0)</f>
        <v>0</v>
      </c>
      <c r="R738" s="280">
        <f>IF(H79&gt;0,ROUND(H79,0),0)</f>
        <v>6500</v>
      </c>
      <c r="S738" s="280">
        <f>IF(H80&gt;0,ROUND(H80,0),0)</f>
        <v>0</v>
      </c>
      <c r="T738" s="283">
        <f>IF(H81&gt;0,ROUND(H81,2),0)</f>
        <v>0</v>
      </c>
      <c r="U738" s="280"/>
      <c r="X738" s="280"/>
      <c r="Y738" s="280"/>
      <c r="Z738" s="280" t="e">
        <f t="shared" si="0"/>
        <v>#DIV/0!</v>
      </c>
    </row>
    <row r="739" spans="1:26" ht="12.65" customHeight="1" x14ac:dyDescent="0.35">
      <c r="A739" s="209" t="str">
        <f>RIGHT($C$84,3)&amp;"*"&amp;RIGHT($C$83,4)&amp;"*"&amp;I$55&amp;"*"&amp;"A"</f>
        <v>TAL*199*6150*A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>
        <f>ROUND(I62,0)</f>
        <v>0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>
        <f>ROUND(I67,0)</f>
        <v>0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 t="e">
        <f t="shared" si="0"/>
        <v>#DIV/0!</v>
      </c>
    </row>
    <row r="740" spans="1:26" ht="12.65" customHeight="1" x14ac:dyDescent="0.35">
      <c r="A740" s="209" t="str">
        <f>RIGHT($C$84,3)&amp;"*"&amp;RIGHT($C$83,4)&amp;"*"&amp;J$55&amp;"*"&amp;"A"</f>
        <v>TAL*199*6170*A</v>
      </c>
      <c r="B740" s="280">
        <f>ROUND(J59,0)</f>
        <v>429</v>
      </c>
      <c r="C740" s="283">
        <f>ROUND(J60,2)</f>
        <v>0</v>
      </c>
      <c r="D740" s="280">
        <f>ROUND(J61,0)</f>
        <v>0</v>
      </c>
      <c r="E740" s="280">
        <f>ROUND(J62,0)</f>
        <v>0</v>
      </c>
      <c r="F740" s="280">
        <f>ROUND(J63,0)</f>
        <v>0</v>
      </c>
      <c r="G740" s="280">
        <f>ROUND(J64,0)</f>
        <v>-40</v>
      </c>
      <c r="H740" s="280">
        <f>ROUND(J65,0)</f>
        <v>0</v>
      </c>
      <c r="I740" s="280">
        <f>ROUND(J66,0)</f>
        <v>0</v>
      </c>
      <c r="J740" s="280">
        <f>ROUND(J67,0)</f>
        <v>14714</v>
      </c>
      <c r="K740" s="280">
        <f>ROUND(J68,0)</f>
        <v>93</v>
      </c>
      <c r="L740" s="280">
        <f>ROUND(J70,0)</f>
        <v>0</v>
      </c>
      <c r="M740" s="280">
        <f>ROUND(J71,0)</f>
        <v>14766</v>
      </c>
      <c r="N740" s="280">
        <f>ROUND(J76,0)</f>
        <v>700</v>
      </c>
      <c r="O740" s="280">
        <f>ROUND(J74,0)</f>
        <v>23657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 t="e">
        <f t="shared" si="0"/>
        <v>#DIV/0!</v>
      </c>
    </row>
    <row r="741" spans="1:26" ht="12.65" customHeight="1" x14ac:dyDescent="0.35">
      <c r="A741" s="209" t="str">
        <f>RIGHT($C$84,3)&amp;"*"&amp;RIGHT($C$83,4)&amp;"*"&amp;K$55&amp;"*"&amp;"A"</f>
        <v>TAL*199*6200*A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>
        <f>ROUND(K62,0)</f>
        <v>0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>
        <f>ROUND(K67,0)</f>
        <v>0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 t="e">
        <f t="shared" si="0"/>
        <v>#DIV/0!</v>
      </c>
    </row>
    <row r="742" spans="1:26" ht="12.65" customHeight="1" x14ac:dyDescent="0.35">
      <c r="A742" s="209" t="str">
        <f>RIGHT($C$84,3)&amp;"*"&amp;RIGHT($C$83,4)&amp;"*"&amp;L$55&amp;"*"&amp;"A"</f>
        <v>TAL*199*6210*A</v>
      </c>
      <c r="B742" s="280">
        <f>ROUND(L59,0)</f>
        <v>0</v>
      </c>
      <c r="C742" s="283">
        <f>ROUND(L60,2)</f>
        <v>0</v>
      </c>
      <c r="D742" s="280">
        <f>ROUND(L61,0)</f>
        <v>0</v>
      </c>
      <c r="E742" s="280">
        <f>ROUND(L62,0)</f>
        <v>0</v>
      </c>
      <c r="F742" s="280">
        <f>ROUND(L63,0)</f>
        <v>0</v>
      </c>
      <c r="G742" s="280">
        <f>ROUND(L64,0)</f>
        <v>0</v>
      </c>
      <c r="H742" s="280">
        <f>ROUND(L65,0)</f>
        <v>0</v>
      </c>
      <c r="I742" s="280">
        <f>ROUND(L66,0)</f>
        <v>0</v>
      </c>
      <c r="J742" s="280">
        <f>ROUND(L67,0)</f>
        <v>0</v>
      </c>
      <c r="K742" s="280">
        <f>ROUND(L68,0)</f>
        <v>0</v>
      </c>
      <c r="L742" s="280">
        <f>ROUND(L70,0)</f>
        <v>0</v>
      </c>
      <c r="M742" s="280">
        <f>ROUND(L71,0)</f>
        <v>0</v>
      </c>
      <c r="N742" s="280">
        <f>ROUND(L76,0)</f>
        <v>0</v>
      </c>
      <c r="O742" s="280">
        <f>ROUND(L74,0)</f>
        <v>0</v>
      </c>
      <c r="P742" s="280">
        <f>IF(L77&gt;0,ROUND(L77,0),0)</f>
        <v>0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0</v>
      </c>
      <c r="U742" s="280"/>
      <c r="X742" s="280"/>
      <c r="Y742" s="280"/>
      <c r="Z742" s="280" t="e">
        <f t="shared" si="0"/>
        <v>#DIV/0!</v>
      </c>
    </row>
    <row r="743" spans="1:26" ht="12.65" customHeight="1" x14ac:dyDescent="0.35">
      <c r="A743" s="209" t="str">
        <f>RIGHT($C$84,3)&amp;"*"&amp;RIGHT($C$83,4)&amp;"*"&amp;M$55&amp;"*"&amp;"A"</f>
        <v>TAL*199*6330*A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>
        <f>ROUND(M62,0)</f>
        <v>0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>
        <f>ROUND(M67,0)</f>
        <v>0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 t="e">
        <f t="shared" si="0"/>
        <v>#DIV/0!</v>
      </c>
    </row>
    <row r="744" spans="1:26" ht="12.65" customHeight="1" x14ac:dyDescent="0.35">
      <c r="A744" s="209" t="str">
        <f>RIGHT($C$84,3)&amp;"*"&amp;RIGHT($C$83,4)&amp;"*"&amp;N$55&amp;"*"&amp;"A"</f>
        <v>TAL*199*6400*A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>
        <f>ROUND(N62,0)</f>
        <v>0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>
        <f>ROUND(N67,0)</f>
        <v>0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 t="e">
        <f t="shared" si="0"/>
        <v>#DIV/0!</v>
      </c>
    </row>
    <row r="745" spans="1:26" ht="12.65" customHeight="1" x14ac:dyDescent="0.35">
      <c r="A745" s="209" t="str">
        <f>RIGHT($C$84,3)&amp;"*"&amp;RIGHT($C$83,4)&amp;"*"&amp;O$55&amp;"*"&amp;"A"</f>
        <v>TAL*199*7010*A</v>
      </c>
      <c r="B745" s="280">
        <f>ROUND(O59,0)</f>
        <v>671</v>
      </c>
      <c r="C745" s="283">
        <f>ROUND(O60,2)</f>
        <v>15.56</v>
      </c>
      <c r="D745" s="280">
        <f>ROUND(O61,0)</f>
        <v>1122697</v>
      </c>
      <c r="E745" s="280">
        <f>ROUND(O62,0)</f>
        <v>291425</v>
      </c>
      <c r="F745" s="280">
        <f>ROUND(O63,0)</f>
        <v>0</v>
      </c>
      <c r="G745" s="280">
        <f>ROUND(O64,0)</f>
        <v>106337</v>
      </c>
      <c r="H745" s="280">
        <f>ROUND(O65,0)</f>
        <v>0</v>
      </c>
      <c r="I745" s="280">
        <f>ROUND(O66,0)</f>
        <v>124616</v>
      </c>
      <c r="J745" s="280">
        <f>ROUND(O67,0)</f>
        <v>186338</v>
      </c>
      <c r="K745" s="280">
        <f>ROUND(O68,0)</f>
        <v>2124</v>
      </c>
      <c r="L745" s="280">
        <f>ROUND(O70,0)</f>
        <v>0</v>
      </c>
      <c r="M745" s="280">
        <f>ROUND(O71,0)</f>
        <v>1848969</v>
      </c>
      <c r="N745" s="280">
        <f>ROUND(O76,0)</f>
        <v>8865</v>
      </c>
      <c r="O745" s="280">
        <f>ROUND(O74,0)</f>
        <v>301246</v>
      </c>
      <c r="P745" s="280">
        <f>IF(O77&gt;0,ROUND(O77,0),0)</f>
        <v>2189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13</v>
      </c>
      <c r="T745" s="283">
        <f>IF(O81&gt;0,ROUND(O81,2),0)</f>
        <v>0</v>
      </c>
      <c r="U745" s="280"/>
      <c r="X745" s="280"/>
      <c r="Y745" s="280"/>
      <c r="Z745" s="280" t="e">
        <f t="shared" si="0"/>
        <v>#DIV/0!</v>
      </c>
    </row>
    <row r="746" spans="1:26" ht="12.65" customHeight="1" x14ac:dyDescent="0.35">
      <c r="A746" s="209" t="str">
        <f>RIGHT($C$84,3)&amp;"*"&amp;RIGHT($C$83,4)&amp;"*"&amp;P$55&amp;"*"&amp;"A"</f>
        <v>TAL*199*7020*A</v>
      </c>
      <c r="B746" s="280">
        <f>ROUND(P59,0)</f>
        <v>0</v>
      </c>
      <c r="C746" s="283">
        <f>ROUND(P60,2)</f>
        <v>9.67</v>
      </c>
      <c r="D746" s="280">
        <f>ROUND(P61,0)</f>
        <v>496188</v>
      </c>
      <c r="E746" s="280">
        <f>ROUND(P62,0)</f>
        <v>140150</v>
      </c>
      <c r="F746" s="280">
        <f>ROUND(P63,0)</f>
        <v>0</v>
      </c>
      <c r="G746" s="280">
        <f>ROUND(P64,0)</f>
        <v>326615</v>
      </c>
      <c r="H746" s="280">
        <f>ROUND(P65,0)</f>
        <v>0</v>
      </c>
      <c r="I746" s="280">
        <f>ROUND(P66,0)</f>
        <v>168229</v>
      </c>
      <c r="J746" s="280">
        <f>ROUND(P67,0)</f>
        <v>51498</v>
      </c>
      <c r="K746" s="280">
        <f>ROUND(P68,0)</f>
        <v>2527</v>
      </c>
      <c r="L746" s="280">
        <f>ROUND(P70,0)</f>
        <v>0</v>
      </c>
      <c r="M746" s="280">
        <f>ROUND(P71,0)</f>
        <v>1219742</v>
      </c>
      <c r="N746" s="280">
        <f>ROUND(P76,0)</f>
        <v>2450</v>
      </c>
      <c r="O746" s="280">
        <f>ROUND(P74,0)</f>
        <v>8228452</v>
      </c>
      <c r="P746" s="280">
        <f>IF(P77&gt;0,ROUND(P77,0),0)</f>
        <v>0</v>
      </c>
      <c r="Q746" s="280">
        <f>IF(P78&gt;0,ROUND(P78,0),0)</f>
        <v>0</v>
      </c>
      <c r="R746" s="280">
        <f>IF(P79&gt;0,ROUND(P79,0),0)</f>
        <v>21266</v>
      </c>
      <c r="S746" s="280">
        <f>IF(P80&gt;0,ROUND(P80,0),0)</f>
        <v>5</v>
      </c>
      <c r="T746" s="283">
        <f>IF(P81&gt;0,ROUND(P81,2),0)</f>
        <v>0</v>
      </c>
      <c r="U746" s="280"/>
      <c r="X746" s="280"/>
      <c r="Y746" s="280"/>
      <c r="Z746" s="280" t="e">
        <f t="shared" si="0"/>
        <v>#DIV/0!</v>
      </c>
    </row>
    <row r="747" spans="1:26" ht="12.65" customHeight="1" x14ac:dyDescent="0.35">
      <c r="A747" s="209" t="str">
        <f>RIGHT($C$84,3)&amp;"*"&amp;RIGHT($C$83,4)&amp;"*"&amp;Q$55&amp;"*"&amp;"A"</f>
        <v>TAL*199*7030*A</v>
      </c>
      <c r="B747" s="280">
        <f>ROUND(Q59,0)</f>
        <v>0</v>
      </c>
      <c r="C747" s="283">
        <f>ROUND(Q60,2)</f>
        <v>1.5</v>
      </c>
      <c r="D747" s="280">
        <f>ROUND(Q61,0)</f>
        <v>112891</v>
      </c>
      <c r="E747" s="280">
        <f>ROUND(Q62,0)</f>
        <v>23899</v>
      </c>
      <c r="F747" s="280">
        <f>ROUND(Q63,0)</f>
        <v>0</v>
      </c>
      <c r="G747" s="280">
        <f>ROUND(Q64,0)</f>
        <v>21544</v>
      </c>
      <c r="H747" s="280">
        <f>ROUND(Q65,0)</f>
        <v>0</v>
      </c>
      <c r="I747" s="280">
        <f>ROUND(Q66,0)</f>
        <v>2197</v>
      </c>
      <c r="J747" s="280">
        <f>ROUND(Q67,0)</f>
        <v>82081</v>
      </c>
      <c r="K747" s="280">
        <f>ROUND(Q68,0)</f>
        <v>0</v>
      </c>
      <c r="L747" s="280">
        <f>ROUND(Q70,0)</f>
        <v>0</v>
      </c>
      <c r="M747" s="280">
        <f>ROUND(Q71,0)</f>
        <v>243402</v>
      </c>
      <c r="N747" s="280">
        <f>ROUND(Q76,0)</f>
        <v>3905</v>
      </c>
      <c r="O747" s="280">
        <f>ROUND(Q74,0)</f>
        <v>481274</v>
      </c>
      <c r="P747" s="280">
        <f>IF(Q77&gt;0,ROUND(Q77,0),0)</f>
        <v>0</v>
      </c>
      <c r="Q747" s="280">
        <f>IF(Q78&gt;0,ROUND(Q78,0),0)</f>
        <v>0</v>
      </c>
      <c r="R747" s="280">
        <f>IF(Q79&gt;0,ROUND(Q79,0),0)</f>
        <v>0</v>
      </c>
      <c r="S747" s="280">
        <f>IF(Q80&gt;0,ROUND(Q80,0),0)</f>
        <v>2</v>
      </c>
      <c r="T747" s="283">
        <f>IF(Q81&gt;0,ROUND(Q81,2),0)</f>
        <v>0</v>
      </c>
      <c r="U747" s="280"/>
      <c r="X747" s="280"/>
      <c r="Y747" s="280"/>
      <c r="Z747" s="280" t="e">
        <f t="shared" si="0"/>
        <v>#DIV/0!</v>
      </c>
    </row>
    <row r="748" spans="1:26" ht="12.65" customHeight="1" x14ac:dyDescent="0.35">
      <c r="A748" s="209" t="str">
        <f>RIGHT($C$84,3)&amp;"*"&amp;RIGHT($C$83,4)&amp;"*"&amp;R$55&amp;"*"&amp;"A"</f>
        <v>TAL*199*7040*A</v>
      </c>
      <c r="B748" s="280">
        <f>ROUND(R59,0)</f>
        <v>0</v>
      </c>
      <c r="C748" s="283">
        <f>ROUND(R60,2)</f>
        <v>0</v>
      </c>
      <c r="D748" s="280">
        <f>ROUND(R61,0)</f>
        <v>0</v>
      </c>
      <c r="E748" s="280">
        <f>ROUND(R62,0)</f>
        <v>0</v>
      </c>
      <c r="F748" s="280">
        <f>ROUND(R63,0)</f>
        <v>256761</v>
      </c>
      <c r="G748" s="280">
        <f>ROUND(R64,0)</f>
        <v>12682</v>
      </c>
      <c r="H748" s="280">
        <f>ROUND(R65,0)</f>
        <v>0</v>
      </c>
      <c r="I748" s="280">
        <f>ROUND(R66,0)</f>
        <v>0</v>
      </c>
      <c r="J748" s="280">
        <f>ROUND(R67,0)</f>
        <v>3363</v>
      </c>
      <c r="K748" s="280">
        <f>ROUND(R68,0)</f>
        <v>393</v>
      </c>
      <c r="L748" s="280">
        <f>ROUND(R70,0)</f>
        <v>0</v>
      </c>
      <c r="M748" s="280">
        <f>ROUND(R71,0)</f>
        <v>278957</v>
      </c>
      <c r="N748" s="280">
        <f>ROUND(R76,0)</f>
        <v>160</v>
      </c>
      <c r="O748" s="280">
        <f>ROUND(R74,0)</f>
        <v>454912</v>
      </c>
      <c r="P748" s="280">
        <f>IF(R77&gt;0,ROUND(R77,0),0)</f>
        <v>0</v>
      </c>
      <c r="Q748" s="280">
        <f>IF(R78&gt;0,ROUND(R78,0),0)</f>
        <v>0</v>
      </c>
      <c r="R748" s="280">
        <f>IF(R79&gt;0,ROUND(R79,0),0)</f>
        <v>0</v>
      </c>
      <c r="S748" s="280">
        <f>IF(R80&gt;0,ROUND(R80,0),0)</f>
        <v>0</v>
      </c>
      <c r="T748" s="283">
        <f>IF(R81&gt;0,ROUND(R81,2),0)</f>
        <v>0</v>
      </c>
      <c r="U748" s="280"/>
      <c r="X748" s="280"/>
      <c r="Y748" s="280"/>
      <c r="Z748" s="280" t="e">
        <f t="shared" si="0"/>
        <v>#DIV/0!</v>
      </c>
    </row>
    <row r="749" spans="1:26" ht="12.65" customHeight="1" x14ac:dyDescent="0.35">
      <c r="A749" s="209" t="str">
        <f>RIGHT($C$84,3)&amp;"*"&amp;RIGHT($C$83,4)&amp;"*"&amp;S$55&amp;"*"&amp;"A"</f>
        <v>TAL*199*7050*A</v>
      </c>
      <c r="B749" s="280"/>
      <c r="C749" s="283">
        <f>ROUND(S60,2)</f>
        <v>0</v>
      </c>
      <c r="D749" s="280">
        <f>ROUND(S61,0)</f>
        <v>0</v>
      </c>
      <c r="E749" s="280">
        <f>ROUND(S62,0)</f>
        <v>75377</v>
      </c>
      <c r="F749" s="280">
        <f>ROUND(S63,0)</f>
        <v>0</v>
      </c>
      <c r="G749" s="280">
        <f>ROUND(S64,0)</f>
        <v>-6362</v>
      </c>
      <c r="H749" s="280">
        <f>ROUND(S65,0)</f>
        <v>0</v>
      </c>
      <c r="I749" s="280">
        <f>ROUND(S66,0)</f>
        <v>712</v>
      </c>
      <c r="J749" s="280">
        <f>ROUND(S67,0)</f>
        <v>0</v>
      </c>
      <c r="K749" s="280">
        <f>ROUND(S68,0)</f>
        <v>2454</v>
      </c>
      <c r="L749" s="280">
        <f>ROUND(S70,0)</f>
        <v>0</v>
      </c>
      <c r="M749" s="280">
        <f>ROUND(S71,0)</f>
        <v>76437</v>
      </c>
      <c r="N749" s="280">
        <f>ROUND(S76,0)</f>
        <v>0</v>
      </c>
      <c r="O749" s="280">
        <f>ROUND(S74,0)</f>
        <v>407668</v>
      </c>
      <c r="P749" s="280">
        <f>IF(S77&gt;0,ROUND(S77,0),0)</f>
        <v>0</v>
      </c>
      <c r="Q749" s="280">
        <f>IF(S78&gt;0,ROUND(S78,0),0)</f>
        <v>0</v>
      </c>
      <c r="R749" s="280">
        <f>IF(S79&gt;0,ROUND(S79,0),0)</f>
        <v>0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 t="e">
        <f t="shared" si="0"/>
        <v>#DIV/0!</v>
      </c>
    </row>
    <row r="750" spans="1:26" ht="12.65" customHeight="1" x14ac:dyDescent="0.35">
      <c r="A750" s="209" t="str">
        <f>RIGHT($C$84,3)&amp;"*"&amp;RIGHT($C$83,4)&amp;"*"&amp;T$55&amp;"*"&amp;"A"</f>
        <v>TAL*199*7060*A</v>
      </c>
      <c r="B750" s="280"/>
      <c r="C750" s="283">
        <f>ROUND(T60,2)</f>
        <v>0</v>
      </c>
      <c r="D750" s="280">
        <f>ROUND(T61,0)</f>
        <v>0</v>
      </c>
      <c r="E750" s="280">
        <f>ROUND(T62,0)</f>
        <v>0</v>
      </c>
      <c r="F750" s="280">
        <f>ROUND(T63,0)</f>
        <v>0</v>
      </c>
      <c r="G750" s="280">
        <f>ROUND(T64,0)</f>
        <v>-1335</v>
      </c>
      <c r="H750" s="280">
        <f>ROUND(T65,0)</f>
        <v>0</v>
      </c>
      <c r="I750" s="280">
        <f>ROUND(T66,0)</f>
        <v>0</v>
      </c>
      <c r="J750" s="280">
        <f>ROUND(T67,0)</f>
        <v>0</v>
      </c>
      <c r="K750" s="280">
        <f>ROUND(T68,0)</f>
        <v>0</v>
      </c>
      <c r="L750" s="280">
        <f>ROUND(T70,0)</f>
        <v>0</v>
      </c>
      <c r="M750" s="280">
        <f>ROUND(T71,0)</f>
        <v>-1335</v>
      </c>
      <c r="N750" s="280">
        <f>ROUND(T76,0)</f>
        <v>0</v>
      </c>
      <c r="O750" s="280">
        <f>ROUND(T74,0)</f>
        <v>792282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 t="e">
        <f t="shared" si="0"/>
        <v>#DIV/0!</v>
      </c>
    </row>
    <row r="751" spans="1:26" ht="12.65" customHeight="1" x14ac:dyDescent="0.35">
      <c r="A751" s="209" t="str">
        <f>RIGHT($C$84,3)&amp;"*"&amp;RIGHT($C$83,4)&amp;"*"&amp;U$55&amp;"*"&amp;"A"</f>
        <v>TAL*199*7070*A</v>
      </c>
      <c r="B751" s="280">
        <f>ROUND(U59,0)</f>
        <v>0</v>
      </c>
      <c r="C751" s="283">
        <f>ROUND(U60,2)</f>
        <v>10.039999999999999</v>
      </c>
      <c r="D751" s="280">
        <f>ROUND(U61,0)</f>
        <v>556977</v>
      </c>
      <c r="E751" s="280">
        <f>ROUND(U62,0)</f>
        <v>194134</v>
      </c>
      <c r="F751" s="280">
        <f>ROUND(U63,0)</f>
        <v>3878</v>
      </c>
      <c r="G751" s="280">
        <f>ROUND(U64,0)</f>
        <v>402244</v>
      </c>
      <c r="H751" s="280">
        <f>ROUND(U65,0)</f>
        <v>0</v>
      </c>
      <c r="I751" s="280">
        <f>ROUND(U66,0)</f>
        <v>149078</v>
      </c>
      <c r="J751" s="280">
        <f>ROUND(U67,0)</f>
        <v>57615</v>
      </c>
      <c r="K751" s="280">
        <f>ROUND(U68,0)</f>
        <v>8767</v>
      </c>
      <c r="L751" s="280">
        <f>ROUND(U70,0)</f>
        <v>0</v>
      </c>
      <c r="M751" s="280">
        <f>ROUND(U71,0)</f>
        <v>1411488</v>
      </c>
      <c r="N751" s="280">
        <f>ROUND(U76,0)</f>
        <v>2741</v>
      </c>
      <c r="O751" s="280">
        <f>ROUND(U74,0)</f>
        <v>9524632</v>
      </c>
      <c r="P751" s="280">
        <f>IF(U77&gt;0,ROUND(U77,0),0)</f>
        <v>0</v>
      </c>
      <c r="Q751" s="280">
        <f>IF(U78&gt;0,ROUND(U78,0),0)</f>
        <v>0</v>
      </c>
      <c r="R751" s="280">
        <f>IF(U79&gt;0,ROUND(U79,0),0)</f>
        <v>0</v>
      </c>
      <c r="S751" s="280">
        <f>IF(U80&gt;0,ROUND(U80,0),0)</f>
        <v>0</v>
      </c>
      <c r="T751" s="283">
        <f>IF(U81&gt;0,ROUND(U81,2),0)</f>
        <v>0</v>
      </c>
      <c r="U751" s="280"/>
      <c r="X751" s="280"/>
      <c r="Y751" s="280"/>
      <c r="Z751" s="280" t="e">
        <f t="shared" si="0"/>
        <v>#DIV/0!</v>
      </c>
    </row>
    <row r="752" spans="1:26" ht="12.65" customHeight="1" x14ac:dyDescent="0.35">
      <c r="A752" s="209" t="str">
        <f>RIGHT($C$84,3)&amp;"*"&amp;RIGHT($C$83,4)&amp;"*"&amp;V$55&amp;"*"&amp;"A"</f>
        <v>TAL*199*7110*A</v>
      </c>
      <c r="B752" s="280">
        <f>ROUND(V59,0)</f>
        <v>0</v>
      </c>
      <c r="C752" s="283">
        <f>ROUND(V60,2)</f>
        <v>0.02</v>
      </c>
      <c r="D752" s="280">
        <f>ROUND(V61,0)</f>
        <v>348</v>
      </c>
      <c r="E752" s="280">
        <f>ROUND(V62,0)</f>
        <v>29</v>
      </c>
      <c r="F752" s="280">
        <f>ROUND(V63,0)</f>
        <v>0</v>
      </c>
      <c r="G752" s="280">
        <f>ROUND(V64,0)</f>
        <v>0</v>
      </c>
      <c r="H752" s="280">
        <f>ROUND(V65,0)</f>
        <v>0</v>
      </c>
      <c r="I752" s="280">
        <f>ROUND(V66,0)</f>
        <v>0</v>
      </c>
      <c r="J752" s="280">
        <f>ROUND(V67,0)</f>
        <v>0</v>
      </c>
      <c r="K752" s="280">
        <f>ROUND(V68,0)</f>
        <v>0</v>
      </c>
      <c r="L752" s="280">
        <f>ROUND(V70,0)</f>
        <v>0</v>
      </c>
      <c r="M752" s="280">
        <f>ROUND(V71,0)</f>
        <v>511</v>
      </c>
      <c r="N752" s="280">
        <f>ROUND(V76,0)</f>
        <v>0</v>
      </c>
      <c r="O752" s="280">
        <f>ROUND(V74,0)</f>
        <v>1035839</v>
      </c>
      <c r="P752" s="280">
        <f>IF(V77&gt;0,ROUND(V77,0),0)</f>
        <v>0</v>
      </c>
      <c r="Q752" s="280">
        <f>IF(V78&gt;0,ROUND(V78,0),0)</f>
        <v>0</v>
      </c>
      <c r="R752" s="280">
        <f>IF(V79&gt;0,ROUND(V79,0),0)</f>
        <v>0</v>
      </c>
      <c r="S752" s="280">
        <f>IF(V80&gt;0,ROUND(V80,0),0)</f>
        <v>0</v>
      </c>
      <c r="T752" s="283">
        <f>IF(V81&gt;0,ROUND(V81,2),0)</f>
        <v>0</v>
      </c>
      <c r="U752" s="280"/>
      <c r="X752" s="280"/>
      <c r="Y752" s="280"/>
      <c r="Z752" s="280" t="e">
        <f t="shared" si="0"/>
        <v>#DIV/0!</v>
      </c>
    </row>
    <row r="753" spans="1:26" ht="12.65" customHeight="1" x14ac:dyDescent="0.35">
      <c r="A753" s="209" t="str">
        <f>RIGHT($C$84,3)&amp;"*"&amp;RIGHT($C$83,4)&amp;"*"&amp;W$55&amp;"*"&amp;"A"</f>
        <v>TAL*199*7120*A</v>
      </c>
      <c r="B753" s="280">
        <f>ROUND(W59,0)</f>
        <v>0</v>
      </c>
      <c r="C753" s="283">
        <f>ROUND(W60,2)</f>
        <v>0.16</v>
      </c>
      <c r="D753" s="280">
        <f>ROUND(W61,0)</f>
        <v>8219</v>
      </c>
      <c r="E753" s="280">
        <f>ROUND(W62,0)</f>
        <v>1145</v>
      </c>
      <c r="F753" s="280">
        <f>ROUND(W63,0)</f>
        <v>0</v>
      </c>
      <c r="G753" s="280">
        <f>ROUND(W64,0)</f>
        <v>232</v>
      </c>
      <c r="H753" s="280">
        <f>ROUND(W65,0)</f>
        <v>0</v>
      </c>
      <c r="I753" s="280">
        <f>ROUND(W66,0)</f>
        <v>125654</v>
      </c>
      <c r="J753" s="280">
        <f>ROUND(W67,0)</f>
        <v>0</v>
      </c>
      <c r="K753" s="280">
        <f>ROUND(W68,0)</f>
        <v>0</v>
      </c>
      <c r="L753" s="280">
        <f>ROUND(W70,0)</f>
        <v>0</v>
      </c>
      <c r="M753" s="280">
        <f>ROUND(W71,0)</f>
        <v>135250</v>
      </c>
      <c r="N753" s="280">
        <f>ROUND(W76,0)</f>
        <v>0</v>
      </c>
      <c r="O753" s="280">
        <f>ROUND(W74,0)</f>
        <v>881926</v>
      </c>
      <c r="P753" s="280">
        <f>IF(W77&gt;0,ROUND(W77,0),0)</f>
        <v>0</v>
      </c>
      <c r="Q753" s="280">
        <f>IF(W78&gt;0,ROUND(W78,0),0)</f>
        <v>0</v>
      </c>
      <c r="R753" s="280">
        <f>IF(W79&gt;0,ROUND(W79,0),0)</f>
        <v>0</v>
      </c>
      <c r="S753" s="280">
        <f>IF(W80&gt;0,ROUND(W80,0),0)</f>
        <v>0</v>
      </c>
      <c r="T753" s="283">
        <f>IF(W81&gt;0,ROUND(W81,2),0)</f>
        <v>0</v>
      </c>
      <c r="U753" s="280"/>
      <c r="X753" s="280"/>
      <c r="Y753" s="280"/>
      <c r="Z753" s="280" t="e">
        <f t="shared" si="0"/>
        <v>#DIV/0!</v>
      </c>
    </row>
    <row r="754" spans="1:26" ht="12.65" customHeight="1" x14ac:dyDescent="0.35">
      <c r="A754" s="209" t="str">
        <f>RIGHT($C$84,3)&amp;"*"&amp;RIGHT($C$83,4)&amp;"*"&amp;X$55&amp;"*"&amp;"A"</f>
        <v>TAL*199*7130*A</v>
      </c>
      <c r="B754" s="280">
        <f>ROUND(X59,0)</f>
        <v>3597</v>
      </c>
      <c r="C754" s="283">
        <f>ROUND(X60,2)</f>
        <v>0.69</v>
      </c>
      <c r="D754" s="280">
        <f>ROUND(X61,0)</f>
        <v>44982</v>
      </c>
      <c r="E754" s="280">
        <f>ROUND(X62,0)</f>
        <v>30420</v>
      </c>
      <c r="F754" s="280">
        <f>ROUND(X63,0)</f>
        <v>0</v>
      </c>
      <c r="G754" s="280">
        <f>ROUND(X64,0)</f>
        <v>24300</v>
      </c>
      <c r="H754" s="280">
        <f>ROUND(X65,0)</f>
        <v>0</v>
      </c>
      <c r="I754" s="280">
        <f>ROUND(X66,0)</f>
        <v>0</v>
      </c>
      <c r="J754" s="280">
        <f>ROUND(X67,0)</f>
        <v>0</v>
      </c>
      <c r="K754" s="280">
        <f>ROUND(X68,0)</f>
        <v>0</v>
      </c>
      <c r="L754" s="280">
        <f>ROUND(X70,0)</f>
        <v>0</v>
      </c>
      <c r="M754" s="280">
        <f>ROUND(X71,0)</f>
        <v>101592</v>
      </c>
      <c r="N754" s="280">
        <f>ROUND(X76,0)</f>
        <v>0</v>
      </c>
      <c r="O754" s="280">
        <f>ROUND(X74,0)</f>
        <v>14247009</v>
      </c>
      <c r="P754" s="280">
        <f>IF(X77&gt;0,ROUND(X77,0),0)</f>
        <v>0</v>
      </c>
      <c r="Q754" s="280">
        <f>IF(X78&gt;0,ROUND(X78,0),0)</f>
        <v>0</v>
      </c>
      <c r="R754" s="280">
        <f>IF(X79&gt;0,ROUND(X79,0),0)</f>
        <v>0</v>
      </c>
      <c r="S754" s="280">
        <f>IF(X80&gt;0,ROUND(X80,0),0)</f>
        <v>0</v>
      </c>
      <c r="T754" s="283">
        <f>IF(X81&gt;0,ROUND(X81,2),0)</f>
        <v>0</v>
      </c>
      <c r="U754" s="280"/>
      <c r="X754" s="280"/>
      <c r="Y754" s="280"/>
      <c r="Z754" s="280" t="e">
        <f t="shared" si="0"/>
        <v>#DIV/0!</v>
      </c>
    </row>
    <row r="755" spans="1:26" ht="12.65" customHeight="1" x14ac:dyDescent="0.35">
      <c r="A755" s="209" t="str">
        <f>RIGHT($C$84,3)&amp;"*"&amp;RIGHT($C$83,4)&amp;"*"&amp;Y$55&amp;"*"&amp;"A"</f>
        <v>TAL*199*7140*A</v>
      </c>
      <c r="B755" s="280">
        <f>ROUND(Y59,0)</f>
        <v>0</v>
      </c>
      <c r="C755" s="283">
        <f>ROUND(Y60,2)</f>
        <v>11.18</v>
      </c>
      <c r="D755" s="280">
        <f>ROUND(Y61,0)</f>
        <v>714220</v>
      </c>
      <c r="E755" s="280">
        <f>ROUND(Y62,0)</f>
        <v>218456</v>
      </c>
      <c r="F755" s="280">
        <f>ROUND(Y63,0)</f>
        <v>0</v>
      </c>
      <c r="G755" s="280">
        <f>ROUND(Y64,0)</f>
        <v>9299</v>
      </c>
      <c r="H755" s="280">
        <f>ROUND(Y65,0)</f>
        <v>0</v>
      </c>
      <c r="I755" s="280">
        <f>ROUND(Y66,0)</f>
        <v>43329</v>
      </c>
      <c r="J755" s="280">
        <f>ROUND(Y67,0)</f>
        <v>85718</v>
      </c>
      <c r="K755" s="280">
        <f>ROUND(Y68,0)</f>
        <v>0</v>
      </c>
      <c r="L755" s="280">
        <f>ROUND(Y70,0)</f>
        <v>0</v>
      </c>
      <c r="M755" s="280">
        <f>ROUND(Y71,0)</f>
        <v>1099734</v>
      </c>
      <c r="N755" s="280">
        <f>ROUND(Y76,0)</f>
        <v>4078</v>
      </c>
      <c r="O755" s="280">
        <f>ROUND(Y74,0)</f>
        <v>8451416</v>
      </c>
      <c r="P755" s="280">
        <f>IF(Y77&gt;0,ROUND(Y77,0),0)</f>
        <v>0</v>
      </c>
      <c r="Q755" s="280">
        <f>IF(Y78&gt;0,ROUND(Y78,0),0)</f>
        <v>0</v>
      </c>
      <c r="R755" s="280">
        <f>IF(Y79&gt;0,ROUND(Y79,0),0)</f>
        <v>17013</v>
      </c>
      <c r="S755" s="280">
        <f>IF(Y80&gt;0,ROUND(Y80,0),0)</f>
        <v>0</v>
      </c>
      <c r="T755" s="283">
        <f>IF(Y81&gt;0,ROUND(Y81,2),0)</f>
        <v>0</v>
      </c>
      <c r="U755" s="280"/>
      <c r="X755" s="280"/>
      <c r="Y755" s="280"/>
      <c r="Z755" s="280" t="e">
        <f t="shared" si="0"/>
        <v>#DIV/0!</v>
      </c>
    </row>
    <row r="756" spans="1:26" ht="12.65" customHeight="1" x14ac:dyDescent="0.35">
      <c r="A756" s="209" t="str">
        <f>RIGHT($C$84,3)&amp;"*"&amp;RIGHT($C$83,4)&amp;"*"&amp;Z$55&amp;"*"&amp;"A"</f>
        <v>TAL*199*7150*A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>
        <f>ROUND(Z62,0)</f>
        <v>0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>
        <f>ROUND(Z67,0)</f>
        <v>0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 t="e">
        <f t="shared" si="0"/>
        <v>#DIV/0!</v>
      </c>
    </row>
    <row r="757" spans="1:26" ht="12.65" customHeight="1" x14ac:dyDescent="0.35">
      <c r="A757" s="209" t="str">
        <f>RIGHT($C$84,3)&amp;"*"&amp;RIGHT($C$83,4)&amp;"*"&amp;AA$55&amp;"*"&amp;"A"</f>
        <v>TAL*199*7160*A</v>
      </c>
      <c r="B757" s="280">
        <f>ROUND(AA59,0)</f>
        <v>0</v>
      </c>
      <c r="C757" s="283">
        <f>ROUND(AA60,2)</f>
        <v>0</v>
      </c>
      <c r="D757" s="280">
        <f>ROUND(AA61,0)</f>
        <v>0</v>
      </c>
      <c r="E757" s="280">
        <f>ROUND(AA62,0)</f>
        <v>0</v>
      </c>
      <c r="F757" s="280">
        <f>ROUND(AA63,0)</f>
        <v>0</v>
      </c>
      <c r="G757" s="280">
        <f>ROUND(AA64,0)</f>
        <v>0</v>
      </c>
      <c r="H757" s="280">
        <f>ROUND(AA65,0)</f>
        <v>0</v>
      </c>
      <c r="I757" s="280">
        <f>ROUND(AA66,0)</f>
        <v>0</v>
      </c>
      <c r="J757" s="280">
        <f>ROUND(AA67,0)</f>
        <v>0</v>
      </c>
      <c r="K757" s="280">
        <f>ROUND(AA68,0)</f>
        <v>0</v>
      </c>
      <c r="L757" s="280">
        <f>ROUND(AA70,0)</f>
        <v>0</v>
      </c>
      <c r="M757" s="280">
        <f>ROUND(AA71,0)</f>
        <v>0</v>
      </c>
      <c r="N757" s="280">
        <f>ROUND(AA76,0)</f>
        <v>0</v>
      </c>
      <c r="O757" s="280">
        <f>ROUND(AA74,0)</f>
        <v>-5923</v>
      </c>
      <c r="P757" s="280">
        <f>IF(AA77&gt;0,ROUND(AA77,0),0)</f>
        <v>0</v>
      </c>
      <c r="Q757" s="280">
        <f>IF(AA78&gt;0,ROUND(AA78,0),0)</f>
        <v>0</v>
      </c>
      <c r="R757" s="280">
        <f>IF(AA79&gt;0,ROUND(AA79,0),0)</f>
        <v>0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 t="e">
        <f t="shared" si="0"/>
        <v>#DIV/0!</v>
      </c>
    </row>
    <row r="758" spans="1:26" ht="12.65" customHeight="1" x14ac:dyDescent="0.35">
      <c r="A758" s="209" t="str">
        <f>RIGHT($C$84,3)&amp;"*"&amp;RIGHT($C$83,4)&amp;"*"&amp;AB$55&amp;"*"&amp;"A"</f>
        <v>TAL*199*7170*A</v>
      </c>
      <c r="B758" s="280"/>
      <c r="C758" s="283">
        <f>ROUND(AB60,2)</f>
        <v>3.5</v>
      </c>
      <c r="D758" s="280">
        <f>ROUND(AB61,0)</f>
        <v>276627</v>
      </c>
      <c r="E758" s="280">
        <f>ROUND(AB62,0)</f>
        <v>80273</v>
      </c>
      <c r="F758" s="280">
        <f>ROUND(AB63,0)</f>
        <v>0</v>
      </c>
      <c r="G758" s="280">
        <f>ROUND(AB64,0)</f>
        <v>8068</v>
      </c>
      <c r="H758" s="280">
        <f>ROUND(AB65,0)</f>
        <v>0</v>
      </c>
      <c r="I758" s="280">
        <f>ROUND(AB66,0)</f>
        <v>85804</v>
      </c>
      <c r="J758" s="280">
        <f>ROUND(AB67,0)</f>
        <v>22323</v>
      </c>
      <c r="K758" s="280">
        <f>ROUND(AB68,0)</f>
        <v>0</v>
      </c>
      <c r="L758" s="280">
        <f>ROUND(AB70,0)</f>
        <v>0</v>
      </c>
      <c r="M758" s="280">
        <f>ROUND(AB71,0)</f>
        <v>479710</v>
      </c>
      <c r="N758" s="280">
        <f>ROUND(AB76,0)</f>
        <v>1062</v>
      </c>
      <c r="O758" s="280">
        <f>ROUND(AB74,0)</f>
        <v>2930460</v>
      </c>
      <c r="P758" s="280">
        <f>IF(AB77&gt;0,ROUND(AB77,0),0)</f>
        <v>0</v>
      </c>
      <c r="Q758" s="280">
        <f>IF(AB78&gt;0,ROUND(AB78,0),0)</f>
        <v>0</v>
      </c>
      <c r="R758" s="280">
        <f>IF(AB79&gt;0,ROUND(AB79,0),0)</f>
        <v>0</v>
      </c>
      <c r="S758" s="280">
        <f>IF(AB80&gt;0,ROUND(AB80,0),0)</f>
        <v>0</v>
      </c>
      <c r="T758" s="283">
        <f>IF(AB81&gt;0,ROUND(AB81,2),0)</f>
        <v>0</v>
      </c>
      <c r="U758" s="280"/>
      <c r="X758" s="280"/>
      <c r="Y758" s="280"/>
      <c r="Z758" s="280" t="e">
        <f t="shared" si="0"/>
        <v>#DIV/0!</v>
      </c>
    </row>
    <row r="759" spans="1:26" ht="12.65" customHeight="1" x14ac:dyDescent="0.35">
      <c r="A759" s="209" t="str">
        <f>RIGHT($C$84,3)&amp;"*"&amp;RIGHT($C$83,4)&amp;"*"&amp;AC$55&amp;"*"&amp;"A"</f>
        <v>TAL*199*7180*A</v>
      </c>
      <c r="B759" s="280">
        <f>ROUND(AC59,0)</f>
        <v>0</v>
      </c>
      <c r="C759" s="283">
        <f>ROUND(AC60,2)</f>
        <v>5.6</v>
      </c>
      <c r="D759" s="280">
        <f>ROUND(AC61,0)</f>
        <v>355410</v>
      </c>
      <c r="E759" s="280">
        <f>ROUND(AC62,0)</f>
        <v>111932</v>
      </c>
      <c r="F759" s="280">
        <f>ROUND(AC63,0)</f>
        <v>0</v>
      </c>
      <c r="G759" s="280">
        <f>ROUND(AC64,0)</f>
        <v>42638</v>
      </c>
      <c r="H759" s="280">
        <f>ROUND(AC65,0)</f>
        <v>0</v>
      </c>
      <c r="I759" s="280">
        <f>ROUND(AC66,0)</f>
        <v>1137</v>
      </c>
      <c r="J759" s="280">
        <f>ROUND(AC67,0)</f>
        <v>17698</v>
      </c>
      <c r="K759" s="280">
        <f>ROUND(AC68,0)</f>
        <v>142</v>
      </c>
      <c r="L759" s="280">
        <f>ROUND(AC70,0)</f>
        <v>0</v>
      </c>
      <c r="M759" s="280">
        <f>ROUND(AC71,0)</f>
        <v>530040</v>
      </c>
      <c r="N759" s="280">
        <f>ROUND(AC76,0)</f>
        <v>842</v>
      </c>
      <c r="O759" s="280">
        <f>ROUND(AC74,0)</f>
        <v>958394</v>
      </c>
      <c r="P759" s="280">
        <f>IF(AC77&gt;0,ROUND(AC77,0),0)</f>
        <v>0</v>
      </c>
      <c r="Q759" s="280">
        <f>IF(AC78&gt;0,ROUND(AC78,0),0)</f>
        <v>0</v>
      </c>
      <c r="R759" s="280">
        <f>IF(AC79&gt;0,ROUND(AC79,0),0)</f>
        <v>0</v>
      </c>
      <c r="S759" s="280">
        <f>IF(AC80&gt;0,ROUND(AC80,0),0)</f>
        <v>0</v>
      </c>
      <c r="T759" s="283">
        <f>IF(AC81&gt;0,ROUND(AC81,2),0)</f>
        <v>0</v>
      </c>
      <c r="U759" s="280"/>
      <c r="X759" s="280"/>
      <c r="Y759" s="280"/>
      <c r="Z759" s="280" t="e">
        <f t="shared" si="0"/>
        <v>#DIV/0!</v>
      </c>
    </row>
    <row r="760" spans="1:26" ht="12.65" customHeight="1" x14ac:dyDescent="0.35">
      <c r="A760" s="209" t="str">
        <f>RIGHT($C$84,3)&amp;"*"&amp;RIGHT($C$83,4)&amp;"*"&amp;AD$55&amp;"*"&amp;"A"</f>
        <v>TAL*199*7190*A</v>
      </c>
      <c r="B760" s="280">
        <f>ROUND(AD59,0)</f>
        <v>0</v>
      </c>
      <c r="C760" s="283">
        <f>ROUND(AD60,2)</f>
        <v>0</v>
      </c>
      <c r="D760" s="280">
        <f>ROUND(AD61,0)</f>
        <v>0</v>
      </c>
      <c r="E760" s="280">
        <f>ROUND(AD62,0)</f>
        <v>0</v>
      </c>
      <c r="F760" s="280">
        <f>ROUND(AD63,0)</f>
        <v>0</v>
      </c>
      <c r="G760" s="280">
        <f>ROUND(AD64,0)</f>
        <v>0</v>
      </c>
      <c r="H760" s="280">
        <f>ROUND(AD65,0)</f>
        <v>0</v>
      </c>
      <c r="I760" s="280">
        <f>ROUND(AD66,0)</f>
        <v>0</v>
      </c>
      <c r="J760" s="280">
        <f>ROUND(AD67,0)</f>
        <v>0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0</v>
      </c>
      <c r="O760" s="280">
        <f>ROUND(AD74,0)</f>
        <v>0</v>
      </c>
      <c r="P760" s="280">
        <f>IF(AD77&gt;0,ROUND(AD77,0),0)</f>
        <v>0</v>
      </c>
      <c r="Q760" s="280">
        <f>IF(AD78&gt;0,ROUND(AD78,0),0)</f>
        <v>0</v>
      </c>
      <c r="R760" s="280">
        <f>IF(AD79&gt;0,ROUND(AD79,0),0)</f>
        <v>0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 t="e">
        <f t="shared" si="0"/>
        <v>#DIV/0!</v>
      </c>
    </row>
    <row r="761" spans="1:26" ht="12.65" customHeight="1" x14ac:dyDescent="0.35">
      <c r="A761" s="209" t="str">
        <f>RIGHT($C$84,3)&amp;"*"&amp;RIGHT($C$83,4)&amp;"*"&amp;AE$55&amp;"*"&amp;"A"</f>
        <v>TAL*199*7200*A</v>
      </c>
      <c r="B761" s="280">
        <f>ROUND(AE59,0)</f>
        <v>0</v>
      </c>
      <c r="C761" s="283">
        <f>ROUND(AE60,2)</f>
        <v>0</v>
      </c>
      <c r="D761" s="280">
        <f>ROUND(AE61,0)</f>
        <v>0</v>
      </c>
      <c r="E761" s="280">
        <f>ROUND(AE62,0)</f>
        <v>0</v>
      </c>
      <c r="F761" s="280">
        <f>ROUND(AE63,0)</f>
        <v>0</v>
      </c>
      <c r="G761" s="280">
        <f>ROUND(AE64,0)</f>
        <v>0</v>
      </c>
      <c r="H761" s="280">
        <f>ROUND(AE65,0)</f>
        <v>0</v>
      </c>
      <c r="I761" s="280">
        <f>ROUND(AE66,0)</f>
        <v>-2566</v>
      </c>
      <c r="J761" s="280">
        <f>ROUND(AE67,0)</f>
        <v>0</v>
      </c>
      <c r="K761" s="280">
        <f>ROUND(AE68,0)</f>
        <v>0</v>
      </c>
      <c r="L761" s="280">
        <f>ROUND(AE70,0)</f>
        <v>0</v>
      </c>
      <c r="M761" s="280">
        <f>ROUND(AE71,0)</f>
        <v>-2566</v>
      </c>
      <c r="N761" s="280">
        <f>ROUND(AE76,0)</f>
        <v>0</v>
      </c>
      <c r="O761" s="280">
        <f>ROUND(AE74,0)</f>
        <v>7460</v>
      </c>
      <c r="P761" s="280">
        <f>IF(AE77&gt;0,ROUND(AE77,0),0)</f>
        <v>0</v>
      </c>
      <c r="Q761" s="280">
        <f>IF(AE78&gt;0,ROUND(AE78,0),0)</f>
        <v>0</v>
      </c>
      <c r="R761" s="280">
        <f>IF(AE79&gt;0,ROUND(AE79,0),0)</f>
        <v>0</v>
      </c>
      <c r="S761" s="280">
        <f>IF(AE80&gt;0,ROUND(AE80,0),0)</f>
        <v>0</v>
      </c>
      <c r="T761" s="283">
        <f>IF(AE81&gt;0,ROUND(AE81,2),0)</f>
        <v>0</v>
      </c>
      <c r="U761" s="280"/>
      <c r="X761" s="280"/>
      <c r="Y761" s="280"/>
      <c r="Z761" s="280" t="e">
        <f t="shared" si="0"/>
        <v>#DIV/0!</v>
      </c>
    </row>
    <row r="762" spans="1:26" ht="12.65" customHeight="1" x14ac:dyDescent="0.35">
      <c r="A762" s="209" t="str">
        <f>RIGHT($C$84,3)&amp;"*"&amp;RIGHT($C$83,4)&amp;"*"&amp;AF$55&amp;"*"&amp;"A"</f>
        <v>TAL*199*7220*A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>
        <f>ROUND(AF62,0)</f>
        <v>0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>
        <f>ROUND(AF67,0)</f>
        <v>0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 t="e">
        <f t="shared" si="0"/>
        <v>#DIV/0!</v>
      </c>
    </row>
    <row r="763" spans="1:26" ht="12.65" customHeight="1" x14ac:dyDescent="0.35">
      <c r="A763" s="209" t="str">
        <f>RIGHT($C$84,3)&amp;"*"&amp;RIGHT($C$83,4)&amp;"*"&amp;AG$55&amp;"*"&amp;"A"</f>
        <v>TAL*199*7230*A</v>
      </c>
      <c r="B763" s="280">
        <f>ROUND(AG59,0)</f>
        <v>18929</v>
      </c>
      <c r="C763" s="283">
        <f>ROUND(AG60,2)</f>
        <v>22.73</v>
      </c>
      <c r="D763" s="280">
        <f>ROUND(AG61,0)</f>
        <v>1296313</v>
      </c>
      <c r="E763" s="280">
        <f>ROUND(AG62,0)</f>
        <v>328624</v>
      </c>
      <c r="F763" s="280">
        <f>ROUND(AG63,0)</f>
        <v>656307</v>
      </c>
      <c r="G763" s="280">
        <f>ROUND(AG64,0)</f>
        <v>165854</v>
      </c>
      <c r="H763" s="280">
        <f>ROUND(AG65,0)</f>
        <v>0</v>
      </c>
      <c r="I763" s="280">
        <f>ROUND(AG66,0)</f>
        <v>803389</v>
      </c>
      <c r="J763" s="280">
        <f>ROUND(AG67,0)</f>
        <v>97236</v>
      </c>
      <c r="K763" s="280">
        <f>ROUND(AG68,0)</f>
        <v>2415</v>
      </c>
      <c r="L763" s="280">
        <f>ROUND(AG70,0)</f>
        <v>0</v>
      </c>
      <c r="M763" s="280">
        <f>ROUND(AG71,0)</f>
        <v>3356774</v>
      </c>
      <c r="N763" s="280">
        <f>ROUND(AG76,0)</f>
        <v>4626</v>
      </c>
      <c r="O763" s="280">
        <f>ROUND(AG74,0)</f>
        <v>25803732</v>
      </c>
      <c r="P763" s="280">
        <f>IF(AG77&gt;0,ROUND(AG77,0),0)</f>
        <v>0</v>
      </c>
      <c r="Q763" s="280">
        <f>IF(AG78&gt;0,ROUND(AG78,0),0)</f>
        <v>0</v>
      </c>
      <c r="R763" s="280">
        <f>IF(AG79&gt;0,ROUND(AG79,0),0)</f>
        <v>82939</v>
      </c>
      <c r="S763" s="280">
        <f>IF(AG80&gt;0,ROUND(AG80,0),0)</f>
        <v>14</v>
      </c>
      <c r="T763" s="283">
        <f>IF(AG81&gt;0,ROUND(AG81,2),0)</f>
        <v>0</v>
      </c>
      <c r="U763" s="280"/>
      <c r="X763" s="280"/>
      <c r="Y763" s="280"/>
      <c r="Z763" s="280" t="e">
        <f t="shared" si="0"/>
        <v>#DIV/0!</v>
      </c>
    </row>
    <row r="764" spans="1:26" ht="12.65" customHeight="1" x14ac:dyDescent="0.35">
      <c r="A764" s="209" t="str">
        <f>RIGHT($C$84,3)&amp;"*"&amp;RIGHT($C$83,4)&amp;"*"&amp;AH$55&amp;"*"&amp;"A"</f>
        <v>TAL*199*7240*A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>
        <f>ROUND(AH62,0)</f>
        <v>0</v>
      </c>
      <c r="F764" s="280">
        <f>ROUND(AH63,0)</f>
        <v>0</v>
      </c>
      <c r="G764" s="280">
        <f>ROUND(AH64,0)</f>
        <v>0</v>
      </c>
      <c r="H764" s="280">
        <f>ROUND(AH65,0)</f>
        <v>0</v>
      </c>
      <c r="I764" s="280">
        <f>ROUND(AH66,0)</f>
        <v>0</v>
      </c>
      <c r="J764" s="280">
        <f>ROUND(AH67,0)</f>
        <v>0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 t="e">
        <f t="shared" si="0"/>
        <v>#DIV/0!</v>
      </c>
    </row>
    <row r="765" spans="1:26" ht="12.65" customHeight="1" x14ac:dyDescent="0.35">
      <c r="A765" s="209" t="str">
        <f>RIGHT($C$84,3)&amp;"*"&amp;RIGHT($C$83,4)&amp;"*"&amp;AI$55&amp;"*"&amp;"A"</f>
        <v>TAL*199*7250*A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>
        <f>ROUND(AI62,0)</f>
        <v>0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>
        <f>ROUND(AI67,0)</f>
        <v>0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 t="e">
        <f t="shared" si="0"/>
        <v>#DIV/0!</v>
      </c>
    </row>
    <row r="766" spans="1:26" ht="12.65" customHeight="1" x14ac:dyDescent="0.35">
      <c r="A766" s="209" t="str">
        <f>RIGHT($C$84,3)&amp;"*"&amp;RIGHT($C$83,4)&amp;"*"&amp;AJ$55&amp;"*"&amp;"A"</f>
        <v>TAL*199*7260*A</v>
      </c>
      <c r="B766" s="280">
        <f>ROUND(AJ59,0)</f>
        <v>12378</v>
      </c>
      <c r="C766" s="283">
        <f>ROUND(AJ60,2)</f>
        <v>6.9</v>
      </c>
      <c r="D766" s="280">
        <f>ROUND(AJ61,0)</f>
        <v>1564952</v>
      </c>
      <c r="E766" s="280">
        <f>ROUND(AJ62,0)</f>
        <v>410688</v>
      </c>
      <c r="F766" s="280">
        <f>ROUND(AJ63,0)</f>
        <v>6423</v>
      </c>
      <c r="G766" s="280">
        <f>ROUND(AJ64,0)</f>
        <v>69838</v>
      </c>
      <c r="H766" s="280">
        <f>ROUND(AJ65,0)</f>
        <v>26917</v>
      </c>
      <c r="I766" s="280">
        <f>ROUND(AJ66,0)</f>
        <v>81948</v>
      </c>
      <c r="J766" s="280">
        <f>ROUND(AJ67,0)</f>
        <v>0</v>
      </c>
      <c r="K766" s="280">
        <f>ROUND(AJ68,0)</f>
        <v>195687</v>
      </c>
      <c r="L766" s="280">
        <f>ROUND(AJ70,0)</f>
        <v>0</v>
      </c>
      <c r="M766" s="280">
        <f>ROUND(AJ71,0)</f>
        <v>2377060</v>
      </c>
      <c r="N766" s="280">
        <f>ROUND(AJ76,0)</f>
        <v>0</v>
      </c>
      <c r="O766" s="280">
        <f>ROUND(AJ74,0)</f>
        <v>3404685</v>
      </c>
      <c r="P766" s="280">
        <f>IF(AJ77&gt;0,ROUND(AJ77,0),0)</f>
        <v>0</v>
      </c>
      <c r="Q766" s="280">
        <f>IF(AJ78&gt;0,ROUND(AJ78,0),0)</f>
        <v>0</v>
      </c>
      <c r="R766" s="280">
        <f>IF(AJ79&gt;0,ROUND(AJ79,0),0)</f>
        <v>0</v>
      </c>
      <c r="S766" s="280">
        <f>IF(AJ80&gt;0,ROUND(AJ80,0),0)</f>
        <v>0</v>
      </c>
      <c r="T766" s="283">
        <f>IF(AJ81&gt;0,ROUND(AJ81,2),0)</f>
        <v>0</v>
      </c>
      <c r="U766" s="280"/>
      <c r="X766" s="280"/>
      <c r="Y766" s="280"/>
      <c r="Z766" s="280" t="e">
        <f t="shared" si="0"/>
        <v>#DIV/0!</v>
      </c>
    </row>
    <row r="767" spans="1:26" ht="12.65" customHeight="1" x14ac:dyDescent="0.35">
      <c r="A767" s="209" t="str">
        <f>RIGHT($C$84,3)&amp;"*"&amp;RIGHT($C$83,4)&amp;"*"&amp;AK$55&amp;"*"&amp;"A"</f>
        <v>TAL*199*7310*A</v>
      </c>
      <c r="B767" s="280">
        <f>ROUND(AK59,0)</f>
        <v>0</v>
      </c>
      <c r="C767" s="283">
        <f>ROUND(AK60,2)</f>
        <v>0</v>
      </c>
      <c r="D767" s="280">
        <f>ROUND(AK61,0)</f>
        <v>0</v>
      </c>
      <c r="E767" s="280">
        <f>ROUND(AK62,0)</f>
        <v>0</v>
      </c>
      <c r="F767" s="280">
        <f>ROUND(AK63,0)</f>
        <v>0</v>
      </c>
      <c r="G767" s="280">
        <f>ROUND(AK64,0)</f>
        <v>0</v>
      </c>
      <c r="H767" s="280">
        <f>ROUND(AK65,0)</f>
        <v>0</v>
      </c>
      <c r="I767" s="280">
        <f>ROUND(AK66,0)</f>
        <v>0</v>
      </c>
      <c r="J767" s="280">
        <f>ROUND(AK67,0)</f>
        <v>0</v>
      </c>
      <c r="K767" s="280">
        <f>ROUND(AK68,0)</f>
        <v>0</v>
      </c>
      <c r="L767" s="280">
        <f>ROUND(AK70,0)</f>
        <v>0</v>
      </c>
      <c r="M767" s="280">
        <f>ROUND(AK71,0)</f>
        <v>0</v>
      </c>
      <c r="N767" s="280">
        <f>ROUND(AK76,0)</f>
        <v>0</v>
      </c>
      <c r="O767" s="280">
        <f>ROUND(AK74,0)</f>
        <v>6715</v>
      </c>
      <c r="P767" s="280">
        <f>IF(AK77&gt;0,ROUND(AK77,0),0)</f>
        <v>0</v>
      </c>
      <c r="Q767" s="280">
        <f>IF(AK78&gt;0,ROUND(AK78,0),0)</f>
        <v>0</v>
      </c>
      <c r="R767" s="280">
        <f>IF(AK79&gt;0,ROUND(AK79,0),0)</f>
        <v>0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 t="e">
        <f t="shared" si="0"/>
        <v>#DIV/0!</v>
      </c>
    </row>
    <row r="768" spans="1:26" ht="12.65" customHeight="1" x14ac:dyDescent="0.35">
      <c r="A768" s="209" t="str">
        <f>RIGHT($C$84,3)&amp;"*"&amp;RIGHT($C$83,4)&amp;"*"&amp;AL$55&amp;"*"&amp;"A"</f>
        <v>TAL*199*7320*A</v>
      </c>
      <c r="B768" s="280">
        <f>ROUND(AL59,0)</f>
        <v>0</v>
      </c>
      <c r="C768" s="283">
        <f>ROUND(AL60,2)</f>
        <v>0.01</v>
      </c>
      <c r="D768" s="280">
        <f>ROUND(AL61,0)</f>
        <v>935</v>
      </c>
      <c r="E768" s="280">
        <f>ROUND(AL62,0)</f>
        <v>82</v>
      </c>
      <c r="F768" s="280">
        <f>ROUND(AL63,0)</f>
        <v>4609</v>
      </c>
      <c r="G768" s="280">
        <f>ROUND(AL64,0)</f>
        <v>0</v>
      </c>
      <c r="H768" s="280">
        <f>ROUND(AL65,0)</f>
        <v>0</v>
      </c>
      <c r="I768" s="280">
        <f>ROUND(AL66,0)</f>
        <v>6937</v>
      </c>
      <c r="J768" s="280">
        <f>ROUND(AL67,0)</f>
        <v>0</v>
      </c>
      <c r="K768" s="280">
        <f>ROUND(AL68,0)</f>
        <v>0</v>
      </c>
      <c r="L768" s="280">
        <f>ROUND(AL70,0)</f>
        <v>0</v>
      </c>
      <c r="M768" s="280">
        <f>ROUND(AL71,0)</f>
        <v>13280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 t="e">
        <f t="shared" si="0"/>
        <v>#DIV/0!</v>
      </c>
    </row>
    <row r="769" spans="1:26" ht="12.65" customHeight="1" x14ac:dyDescent="0.35">
      <c r="A769" s="209" t="str">
        <f>RIGHT($C$84,3)&amp;"*"&amp;RIGHT($C$83,4)&amp;"*"&amp;AM$55&amp;"*"&amp;"A"</f>
        <v>TAL*199*7330*A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>
        <f>ROUND(AM62,0)</f>
        <v>0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>
        <f>ROUND(AM67,0)</f>
        <v>0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 t="e">
        <f t="shared" si="0"/>
        <v>#DIV/0!</v>
      </c>
    </row>
    <row r="770" spans="1:26" ht="12.65" customHeight="1" x14ac:dyDescent="0.35">
      <c r="A770" s="209" t="str">
        <f>RIGHT($C$84,3)&amp;"*"&amp;RIGHT($C$83,4)&amp;"*"&amp;AN$55&amp;"*"&amp;"A"</f>
        <v>TAL*199*7340*A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>
        <f>ROUND(AN62,0)</f>
        <v>0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>
        <f>ROUND(AN67,0)</f>
        <v>0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 t="e">
        <f t="shared" si="0"/>
        <v>#DIV/0!</v>
      </c>
    </row>
    <row r="771" spans="1:26" ht="12.65" customHeight="1" x14ac:dyDescent="0.35">
      <c r="A771" s="209" t="str">
        <f>RIGHT($C$84,3)&amp;"*"&amp;RIGHT($C$83,4)&amp;"*"&amp;AO$55&amp;"*"&amp;"A"</f>
        <v>TAL*199*7350*A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>
        <f>ROUND(AO62,0)</f>
        <v>0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>
        <f>ROUND(AO67,0)</f>
        <v>0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181180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 t="e">
        <f t="shared" si="0"/>
        <v>#DIV/0!</v>
      </c>
    </row>
    <row r="772" spans="1:26" ht="12.65" customHeight="1" x14ac:dyDescent="0.35">
      <c r="A772" s="209" t="str">
        <f>RIGHT($C$84,3)&amp;"*"&amp;RIGHT($C$83,4)&amp;"*"&amp;AP$55&amp;"*"&amp;"A"</f>
        <v>TAL*199*7380*A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>
        <f>ROUND(AP62,0)</f>
        <v>0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>
        <f>ROUND(AP67,0)</f>
        <v>0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 t="e">
        <f t="shared" si="0"/>
        <v>#DIV/0!</v>
      </c>
    </row>
    <row r="773" spans="1:26" ht="12.65" customHeight="1" x14ac:dyDescent="0.35">
      <c r="A773" s="209" t="str">
        <f>RIGHT($C$84,3)&amp;"*"&amp;RIGHT($C$83,4)&amp;"*"&amp;AQ$55&amp;"*"&amp;"A"</f>
        <v>TAL*199*7390*A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>
        <f>ROUND(AQ62,0)</f>
        <v>0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>
        <f>ROUND(AQ67,0)</f>
        <v>0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 t="e">
        <f t="shared" si="0"/>
        <v>#DIV/0!</v>
      </c>
    </row>
    <row r="774" spans="1:26" ht="12.65" customHeight="1" x14ac:dyDescent="0.35">
      <c r="A774" s="209" t="str">
        <f>RIGHT($C$84,3)&amp;"*"&amp;RIGHT($C$83,4)&amp;"*"&amp;AR$55&amp;"*"&amp;"A"</f>
        <v>TAL*199*7400*A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>
        <f>ROUND(AR62,0)</f>
        <v>0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>
        <f>ROUND(AR67,0)</f>
        <v>0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 t="e">
        <f t="shared" si="0"/>
        <v>#DIV/0!</v>
      </c>
    </row>
    <row r="775" spans="1:26" ht="12.65" customHeight="1" x14ac:dyDescent="0.35">
      <c r="A775" s="209" t="str">
        <f>RIGHT($C$84,3)&amp;"*"&amp;RIGHT($C$83,4)&amp;"*"&amp;AS$55&amp;"*"&amp;"A"</f>
        <v>TAL*199*7410*A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>
        <f>ROUND(AS62,0)</f>
        <v>0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>
        <f>ROUND(AS67,0)</f>
        <v>0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 t="e">
        <f t="shared" si="0"/>
        <v>#DIV/0!</v>
      </c>
    </row>
    <row r="776" spans="1:26" ht="12.65" customHeight="1" x14ac:dyDescent="0.35">
      <c r="A776" s="209" t="str">
        <f>RIGHT($C$84,3)&amp;"*"&amp;RIGHT($C$83,4)&amp;"*"&amp;AT$55&amp;"*"&amp;"A"</f>
        <v>TAL*199*7420*A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>
        <f>ROUND(AT62,0)</f>
        <v>0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>
        <f>ROUND(AT67,0)</f>
        <v>0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 t="e">
        <f t="shared" si="0"/>
        <v>#DIV/0!</v>
      </c>
    </row>
    <row r="777" spans="1:26" ht="12.65" customHeight="1" x14ac:dyDescent="0.35">
      <c r="A777" s="209" t="str">
        <f>RIGHT($C$84,3)&amp;"*"&amp;RIGHT($C$83,4)&amp;"*"&amp;AU$55&amp;"*"&amp;"A"</f>
        <v>TAL*199*7430*A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>
        <f>ROUND(AU62,0)</f>
        <v>0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>
        <f>ROUND(AU67,0)</f>
        <v>0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 t="e">
        <f t="shared" si="0"/>
        <v>#DIV/0!</v>
      </c>
    </row>
    <row r="778" spans="1:26" ht="12.65" customHeight="1" x14ac:dyDescent="0.35">
      <c r="A778" s="209" t="str">
        <f>RIGHT($C$84,3)&amp;"*"&amp;RIGHT($C$83,4)&amp;"*"&amp;AV$55&amp;"*"&amp;"A"</f>
        <v>TAL*199*7490*A</v>
      </c>
      <c r="B778" s="280"/>
      <c r="C778" s="283">
        <f>ROUND(AV60,2)</f>
        <v>0</v>
      </c>
      <c r="D778" s="280">
        <f>ROUND(AV61,0)</f>
        <v>0</v>
      </c>
      <c r="E778" s="280">
        <f>ROUND(AV62,0)</f>
        <v>0</v>
      </c>
      <c r="F778" s="280">
        <f>ROUND(AV63,0)</f>
        <v>0</v>
      </c>
      <c r="G778" s="280">
        <f>ROUND(AV64,0)</f>
        <v>0</v>
      </c>
      <c r="H778" s="280">
        <f>ROUND(AV65,0)</f>
        <v>0</v>
      </c>
      <c r="I778" s="280">
        <f>ROUND(AV66,0)</f>
        <v>0</v>
      </c>
      <c r="J778" s="280">
        <f>ROUND(AV67,0)</f>
        <v>0</v>
      </c>
      <c r="K778" s="280">
        <f>ROUND(AV68,0)</f>
        <v>0</v>
      </c>
      <c r="L778" s="280">
        <f>ROUND(AV70,0)</f>
        <v>0</v>
      </c>
      <c r="M778" s="280">
        <f>ROUND(AV71,0)</f>
        <v>4764</v>
      </c>
      <c r="N778" s="280">
        <f>ROUND(AV76,0)</f>
        <v>0</v>
      </c>
      <c r="O778" s="280">
        <f>ROUND(AV74,0)</f>
        <v>175582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 t="e">
        <f t="shared" si="0"/>
        <v>#DIV/0!</v>
      </c>
    </row>
    <row r="779" spans="1:26" ht="12.65" customHeight="1" x14ac:dyDescent="0.35">
      <c r="A779" s="209" t="str">
        <f>RIGHT($C$84,3)&amp;"*"&amp;RIGHT($C$83,4)&amp;"*"&amp;AW$55&amp;"*"&amp;"A"</f>
        <v>TAL*199*8200*A</v>
      </c>
      <c r="B779" s="280"/>
      <c r="C779" s="283">
        <f>ROUND(AW60,2)</f>
        <v>0</v>
      </c>
      <c r="D779" s="280">
        <f>ROUND(AW61,0)</f>
        <v>0</v>
      </c>
      <c r="E779" s="280">
        <f>ROUND(AW62,0)</f>
        <v>0</v>
      </c>
      <c r="F779" s="280">
        <f>ROUND(AW63,0)</f>
        <v>0</v>
      </c>
      <c r="G779" s="280">
        <f>ROUND(AW64,0)</f>
        <v>0</v>
      </c>
      <c r="H779" s="280">
        <f>ROUND(AW65,0)</f>
        <v>0</v>
      </c>
      <c r="I779" s="280">
        <f>ROUND(AW66,0)</f>
        <v>0</v>
      </c>
      <c r="J779" s="280">
        <f>ROUND(AW67,0)</f>
        <v>0</v>
      </c>
      <c r="K779" s="280">
        <f>ROUND(AW68,0)</f>
        <v>0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5" customHeight="1" x14ac:dyDescent="0.35">
      <c r="A780" s="209" t="str">
        <f>RIGHT($C$84,3)&amp;"*"&amp;RIGHT($C$83,4)&amp;"*"&amp;AX$55&amp;"*"&amp;"A"</f>
        <v>TAL*199*8310*A</v>
      </c>
      <c r="B780" s="280"/>
      <c r="C780" s="283">
        <f>ROUND(AX60,2)</f>
        <v>0</v>
      </c>
      <c r="D780" s="280">
        <f>ROUND(AX61,0)</f>
        <v>0</v>
      </c>
      <c r="E780" s="280">
        <f>ROUND(AX62,0)</f>
        <v>0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>
        <f>ROUND(AX67,0)</f>
        <v>0</v>
      </c>
      <c r="K780" s="280">
        <f>ROUND(AX68,0)</f>
        <v>-3658</v>
      </c>
      <c r="L780" s="280">
        <f>ROUND(AX70,0)</f>
        <v>0</v>
      </c>
      <c r="M780" s="280">
        <f>ROUND(AX71,0)</f>
        <v>-3658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5" customHeight="1" x14ac:dyDescent="0.35">
      <c r="A781" s="209" t="str">
        <f>RIGHT($C$84,3)&amp;"*"&amp;RIGHT($C$83,4)&amp;"*"&amp;AY$55&amp;"*"&amp;"A"</f>
        <v>TAL*199*8320*A</v>
      </c>
      <c r="B781" s="280">
        <f>ROUND(AY59,0)</f>
        <v>24026</v>
      </c>
      <c r="C781" s="283">
        <f>ROUND(AY60,2)</f>
        <v>0.82</v>
      </c>
      <c r="D781" s="280">
        <f>ROUND(AY61,0)</f>
        <v>31164</v>
      </c>
      <c r="E781" s="280">
        <f>ROUND(AY62,0)</f>
        <v>11594</v>
      </c>
      <c r="F781" s="280">
        <f>ROUND(AY63,0)</f>
        <v>0</v>
      </c>
      <c r="G781" s="280">
        <f>ROUND(AY64,0)</f>
        <v>-704</v>
      </c>
      <c r="H781" s="280">
        <f>ROUND(AY65,0)</f>
        <v>0</v>
      </c>
      <c r="I781" s="280">
        <f>ROUND(AY66,0)</f>
        <v>0</v>
      </c>
      <c r="J781" s="280">
        <f>ROUND(AY67,0)</f>
        <v>34955</v>
      </c>
      <c r="K781" s="280">
        <f>ROUND(AY68,0)</f>
        <v>0</v>
      </c>
      <c r="L781" s="280">
        <f>ROUND(AY70,0)</f>
        <v>0</v>
      </c>
      <c r="M781" s="280">
        <f>ROUND(AY71,0)</f>
        <v>77022</v>
      </c>
      <c r="N781" s="280"/>
      <c r="O781" s="280"/>
      <c r="P781" s="280">
        <f>IF(AY77&gt;0,ROUND(AY77,0),0)</f>
        <v>0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5" customHeight="1" x14ac:dyDescent="0.35">
      <c r="A782" s="209" t="str">
        <f>RIGHT($C$84,3)&amp;"*"&amp;RIGHT($C$83,4)&amp;"*"&amp;AZ$55&amp;"*"&amp;"A"</f>
        <v>TAL*199*8330*A</v>
      </c>
      <c r="B782" s="280">
        <f>ROUND(AZ59,0)</f>
        <v>24026</v>
      </c>
      <c r="C782" s="283">
        <f>ROUND(AZ60,2)</f>
        <v>3.16</v>
      </c>
      <c r="D782" s="280">
        <f>ROUND(AZ61,0)</f>
        <v>106831</v>
      </c>
      <c r="E782" s="280">
        <f>ROUND(AZ62,0)</f>
        <v>30053</v>
      </c>
      <c r="F782" s="280">
        <f>ROUND(AZ63,0)</f>
        <v>0</v>
      </c>
      <c r="G782" s="280">
        <f>ROUND(AZ64,0)</f>
        <v>219956</v>
      </c>
      <c r="H782" s="280">
        <f>ROUND(AZ65,0)</f>
        <v>0</v>
      </c>
      <c r="I782" s="280">
        <f>ROUND(AZ66,0)</f>
        <v>723</v>
      </c>
      <c r="J782" s="280">
        <f>ROUND(AZ67,0)</f>
        <v>0</v>
      </c>
      <c r="K782" s="280">
        <f>ROUND(AZ68,0)</f>
        <v>0</v>
      </c>
      <c r="L782" s="280">
        <f>ROUND(AZ70,0)</f>
        <v>0</v>
      </c>
      <c r="M782" s="280">
        <f>ROUND(AZ71,0)</f>
        <v>357617</v>
      </c>
      <c r="N782" s="280"/>
      <c r="O782" s="280"/>
      <c r="P782" s="280">
        <f>IF(AZ77&gt;0,ROUND(AZ77,0),0)</f>
        <v>0</v>
      </c>
      <c r="Q782" s="280">
        <f>IF(AZ78&gt;0,ROUND(AZ78,0),0)</f>
        <v>0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5" customHeight="1" x14ac:dyDescent="0.35">
      <c r="A783" s="209" t="str">
        <f>RIGHT($C$84,3)&amp;"*"&amp;RIGHT($C$83,4)&amp;"*"&amp;BA$55&amp;"*"&amp;"A"</f>
        <v>TAL*199*8350*A</v>
      </c>
      <c r="B783" s="280">
        <f>ROUND(BA59,0)</f>
        <v>0</v>
      </c>
      <c r="C783" s="283">
        <f>ROUND(BA60,2)</f>
        <v>0</v>
      </c>
      <c r="D783" s="280">
        <f>ROUND(BA61,0)</f>
        <v>0</v>
      </c>
      <c r="E783" s="280">
        <f>ROUND(BA62,0)</f>
        <v>0</v>
      </c>
      <c r="F783" s="280">
        <f>ROUND(BA63,0)</f>
        <v>0</v>
      </c>
      <c r="G783" s="280">
        <f>ROUND(BA64,0)</f>
        <v>-2200</v>
      </c>
      <c r="H783" s="280">
        <f>ROUND(BA65,0)</f>
        <v>0</v>
      </c>
      <c r="I783" s="280">
        <f>ROUND(BA66,0)</f>
        <v>58417</v>
      </c>
      <c r="J783" s="280">
        <f>ROUND(BA67,0)</f>
        <v>0</v>
      </c>
      <c r="K783" s="280">
        <f>ROUND(BA68,0)</f>
        <v>0</v>
      </c>
      <c r="L783" s="280">
        <f>ROUND(BA70,0)</f>
        <v>0</v>
      </c>
      <c r="M783" s="280">
        <f>ROUND(BA71,0)</f>
        <v>56217</v>
      </c>
      <c r="N783" s="280"/>
      <c r="O783" s="280"/>
      <c r="P783" s="280">
        <f>IF(BA77&gt;0,ROUND(BA77,0),0)</f>
        <v>0</v>
      </c>
      <c r="Q783" s="280">
        <f>IF(BA78&gt;0,ROUND(BA78,0),0)</f>
        <v>0</v>
      </c>
      <c r="R783" s="280">
        <f>IF(BA79&gt;0,ROUND(BA79,0),0)</f>
        <v>0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5" customHeight="1" x14ac:dyDescent="0.35">
      <c r="A784" s="209" t="str">
        <f>RIGHT($C$84,3)&amp;"*"&amp;RIGHT($C$83,4)&amp;"*"&amp;BB$55&amp;"*"&amp;"A"</f>
        <v>TAL*199*8360*A</v>
      </c>
      <c r="B784" s="280"/>
      <c r="C784" s="283">
        <f>ROUND(BB60,2)</f>
        <v>0</v>
      </c>
      <c r="D784" s="280">
        <f>ROUND(BB61,0)</f>
        <v>0</v>
      </c>
      <c r="E784" s="280">
        <f>ROUND(BB62,0)</f>
        <v>0</v>
      </c>
      <c r="F784" s="280">
        <f>ROUND(BB63,0)</f>
        <v>0</v>
      </c>
      <c r="G784" s="280">
        <f>ROUND(BB64,0)</f>
        <v>0</v>
      </c>
      <c r="H784" s="280">
        <f>ROUND(BB65,0)</f>
        <v>0</v>
      </c>
      <c r="I784" s="280">
        <f>ROUND(BB66,0)</f>
        <v>0</v>
      </c>
      <c r="J784" s="280">
        <f>ROUND(BB67,0)</f>
        <v>0</v>
      </c>
      <c r="K784" s="280">
        <f>ROUND(BB68,0)</f>
        <v>0</v>
      </c>
      <c r="L784" s="280">
        <f>ROUND(BB70,0)</f>
        <v>0</v>
      </c>
      <c r="M784" s="280">
        <f>ROUND(BB71,0)</f>
        <v>0</v>
      </c>
      <c r="N784" s="280"/>
      <c r="O784" s="280"/>
      <c r="P784" s="280">
        <f>IF(BB77&gt;0,ROUND(BB77,0),0)</f>
        <v>0</v>
      </c>
      <c r="Q784" s="280">
        <f>IF(BB78&gt;0,ROUND(BB78,0),0)</f>
        <v>0</v>
      </c>
      <c r="R784" s="280">
        <f>IF(BB79&gt;0,ROUND(BB79,0),0)</f>
        <v>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5" customHeight="1" x14ac:dyDescent="0.35">
      <c r="A785" s="209" t="str">
        <f>RIGHT($C$84,3)&amp;"*"&amp;RIGHT($C$83,4)&amp;"*"&amp;BC$55&amp;"*"&amp;"A"</f>
        <v>TAL*199*8370*A</v>
      </c>
      <c r="B785" s="280"/>
      <c r="C785" s="283">
        <f>ROUND(BC60,2)</f>
        <v>0</v>
      </c>
      <c r="D785" s="280">
        <f>ROUND(BC61,0)</f>
        <v>0</v>
      </c>
      <c r="E785" s="280">
        <f>ROUND(BC62,0)</f>
        <v>0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>
        <f>ROUND(BC67,0)</f>
        <v>0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5" customHeight="1" x14ac:dyDescent="0.35">
      <c r="A786" s="209" t="str">
        <f>RIGHT($C$84,3)&amp;"*"&amp;RIGHT($C$83,4)&amp;"*"&amp;BD$55&amp;"*"&amp;"A"</f>
        <v>TAL*199*8420*A</v>
      </c>
      <c r="B786" s="280"/>
      <c r="C786" s="283">
        <f>ROUND(BD60,2)</f>
        <v>2.66</v>
      </c>
      <c r="D786" s="280">
        <f>ROUND(BD61,0)</f>
        <v>118903</v>
      </c>
      <c r="E786" s="280">
        <f>ROUND(BD62,0)</f>
        <v>31676</v>
      </c>
      <c r="F786" s="280">
        <f>ROUND(BD63,0)</f>
        <v>0</v>
      </c>
      <c r="G786" s="280">
        <f>ROUND(BD64,0)</f>
        <v>194543</v>
      </c>
      <c r="H786" s="280">
        <f>ROUND(BD65,0)</f>
        <v>0</v>
      </c>
      <c r="I786" s="280">
        <f>ROUND(BD66,0)</f>
        <v>4885</v>
      </c>
      <c r="J786" s="280">
        <f>ROUND(BD67,0)</f>
        <v>44730</v>
      </c>
      <c r="K786" s="280">
        <f>ROUND(BD68,0)</f>
        <v>4901</v>
      </c>
      <c r="L786" s="280">
        <f>ROUND(BD70,0)</f>
        <v>0</v>
      </c>
      <c r="M786" s="280">
        <f>ROUND(BD71,0)</f>
        <v>435160</v>
      </c>
      <c r="N786" s="280"/>
      <c r="O786" s="280"/>
      <c r="P786" s="280">
        <f>IF(BD77&gt;0,ROUND(BD77,0),0)</f>
        <v>0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5" customHeight="1" x14ac:dyDescent="0.35">
      <c r="A787" s="209" t="str">
        <f>RIGHT($C$84,3)&amp;"*"&amp;RIGHT($C$83,4)&amp;"*"&amp;BE$55&amp;"*"&amp;"A"</f>
        <v>TAL*199*8430*A</v>
      </c>
      <c r="B787" s="280">
        <f>ROUND(BE59,0)</f>
        <v>70293</v>
      </c>
      <c r="C787" s="283">
        <f>ROUND(BE60,2)</f>
        <v>3.14</v>
      </c>
      <c r="D787" s="280">
        <f>ROUND(BE61,0)</f>
        <v>120044</v>
      </c>
      <c r="E787" s="280">
        <f>ROUND(BE62,0)</f>
        <v>39672</v>
      </c>
      <c r="F787" s="280">
        <f>ROUND(BE63,0)</f>
        <v>0</v>
      </c>
      <c r="G787" s="280">
        <f>ROUND(BE64,0)</f>
        <v>5002</v>
      </c>
      <c r="H787" s="280">
        <f>ROUND(BE65,0)</f>
        <v>366709</v>
      </c>
      <c r="I787" s="280">
        <f>ROUND(BE66,0)</f>
        <v>215762</v>
      </c>
      <c r="J787" s="280">
        <f>ROUND(BE67,0)</f>
        <v>65308</v>
      </c>
      <c r="K787" s="280">
        <f>ROUND(BE68,0)</f>
        <v>1098</v>
      </c>
      <c r="L787" s="280">
        <f>ROUND(BE70,0)</f>
        <v>0</v>
      </c>
      <c r="M787" s="280">
        <f>ROUND(BE71,0)</f>
        <v>855822</v>
      </c>
      <c r="N787" s="280"/>
      <c r="O787" s="280"/>
      <c r="P787" s="280">
        <f>IF(BE77&gt;0,ROUND(BE77,0),0)</f>
        <v>0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5" customHeight="1" x14ac:dyDescent="0.35">
      <c r="A788" s="209" t="str">
        <f>RIGHT($C$84,3)&amp;"*"&amp;RIGHT($C$83,4)&amp;"*"&amp;BF$55&amp;"*"&amp;"A"</f>
        <v>TAL*199*8460*A</v>
      </c>
      <c r="B788" s="280"/>
      <c r="C788" s="283">
        <f>ROUND(BF60,2)</f>
        <v>6.05</v>
      </c>
      <c r="D788" s="280">
        <f>ROUND(BF61,0)</f>
        <v>186813</v>
      </c>
      <c r="E788" s="280">
        <f>ROUND(BF62,0)</f>
        <v>82992</v>
      </c>
      <c r="F788" s="280">
        <f>ROUND(BF63,0)</f>
        <v>0</v>
      </c>
      <c r="G788" s="280">
        <f>ROUND(BF64,0)</f>
        <v>25054</v>
      </c>
      <c r="H788" s="280">
        <f>ROUND(BF65,0)</f>
        <v>1483</v>
      </c>
      <c r="I788" s="280">
        <f>ROUND(BF66,0)</f>
        <v>98811</v>
      </c>
      <c r="J788" s="280">
        <f>ROUND(BF67,0)</f>
        <v>28334</v>
      </c>
      <c r="K788" s="280">
        <f>ROUND(BF68,0)</f>
        <v>0</v>
      </c>
      <c r="L788" s="280">
        <f>ROUND(BF70,0)</f>
        <v>0</v>
      </c>
      <c r="M788" s="280">
        <f>ROUND(BF71,0)</f>
        <v>423457</v>
      </c>
      <c r="N788" s="280"/>
      <c r="O788" s="280"/>
      <c r="P788" s="280">
        <f>IF(BF77&gt;0,ROUND(BF77,0),0)</f>
        <v>0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5" customHeight="1" x14ac:dyDescent="0.35">
      <c r="A789" s="209" t="str">
        <f>RIGHT($C$84,3)&amp;"*"&amp;RIGHT($C$83,4)&amp;"*"&amp;BG$55&amp;"*"&amp;"A"</f>
        <v>TAL*199*8470*A</v>
      </c>
      <c r="B789" s="280"/>
      <c r="C789" s="283">
        <f>ROUND(BG60,2)</f>
        <v>0.23</v>
      </c>
      <c r="D789" s="280">
        <f>ROUND(BG61,0)</f>
        <v>0</v>
      </c>
      <c r="E789" s="280">
        <f>ROUND(BG62,0)</f>
        <v>0</v>
      </c>
      <c r="F789" s="280">
        <f>ROUND(BG63,0)</f>
        <v>0</v>
      </c>
      <c r="G789" s="280">
        <f>ROUND(BG64,0)</f>
        <v>0</v>
      </c>
      <c r="H789" s="280">
        <f>ROUND(BG65,0)</f>
        <v>-4899</v>
      </c>
      <c r="I789" s="280">
        <f>ROUND(BG66,0)</f>
        <v>-8227</v>
      </c>
      <c r="J789" s="280">
        <f>ROUND(BG67,0)</f>
        <v>0</v>
      </c>
      <c r="K789" s="280">
        <f>ROUND(BG68,0)</f>
        <v>0</v>
      </c>
      <c r="L789" s="280">
        <f>ROUND(BG70,0)</f>
        <v>0</v>
      </c>
      <c r="M789" s="280">
        <f>ROUND(BG71,0)</f>
        <v>-13126</v>
      </c>
      <c r="N789" s="280"/>
      <c r="O789" s="280"/>
      <c r="P789" s="280">
        <f>IF(BG77&gt;0,ROUND(BG77,0),0)</f>
        <v>0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5" customHeight="1" x14ac:dyDescent="0.35">
      <c r="A790" s="209" t="str">
        <f>RIGHT($C$84,3)&amp;"*"&amp;RIGHT($C$83,4)&amp;"*"&amp;BH$55&amp;"*"&amp;"A"</f>
        <v>TAL*199*8480*A</v>
      </c>
      <c r="B790" s="280"/>
      <c r="C790" s="283">
        <f>ROUND(BH60,2)</f>
        <v>0</v>
      </c>
      <c r="D790" s="280">
        <f>ROUND(BH61,0)</f>
        <v>0</v>
      </c>
      <c r="E790" s="280">
        <f>ROUND(BH62,0)</f>
        <v>0</v>
      </c>
      <c r="F790" s="280">
        <f>ROUND(BH63,0)</f>
        <v>0</v>
      </c>
      <c r="G790" s="280">
        <f>ROUND(BH64,0)</f>
        <v>393</v>
      </c>
      <c r="H790" s="280">
        <f>ROUND(BH65,0)</f>
        <v>445</v>
      </c>
      <c r="I790" s="280">
        <f>ROUND(BH66,0)</f>
        <v>1655</v>
      </c>
      <c r="J790" s="280">
        <f>ROUND(BH67,0)</f>
        <v>5885</v>
      </c>
      <c r="K790" s="280">
        <f>ROUND(BH68,0)</f>
        <v>712</v>
      </c>
      <c r="L790" s="280">
        <f>ROUND(BH70,0)</f>
        <v>0</v>
      </c>
      <c r="M790" s="280">
        <f>ROUND(BH71,0)</f>
        <v>7700</v>
      </c>
      <c r="N790" s="280"/>
      <c r="O790" s="280"/>
      <c r="P790" s="280">
        <f>IF(BH77&gt;0,ROUND(BH77,0),0)</f>
        <v>0</v>
      </c>
      <c r="Q790" s="280">
        <f>IF(BH78&gt;0,ROUND(BH78,0),0)</f>
        <v>0</v>
      </c>
      <c r="R790" s="280">
        <f>IF(BH79&gt;0,ROUND(BH79,0),0)</f>
        <v>0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5" customHeight="1" x14ac:dyDescent="0.35">
      <c r="A791" s="209" t="str">
        <f>RIGHT($C$84,3)&amp;"*"&amp;RIGHT($C$83,4)&amp;"*"&amp;BI$55&amp;"*"&amp;"A"</f>
        <v>TAL*199*8490*A</v>
      </c>
      <c r="B791" s="280"/>
      <c r="C791" s="283">
        <f>ROUND(BI60,2)</f>
        <v>0</v>
      </c>
      <c r="D791" s="280">
        <f>ROUND(BI61,0)</f>
        <v>0</v>
      </c>
      <c r="E791" s="280">
        <f>ROUND(BI62,0)</f>
        <v>0</v>
      </c>
      <c r="F791" s="280">
        <f>ROUND(BI63,0)</f>
        <v>0</v>
      </c>
      <c r="G791" s="280">
        <f>ROUND(BI64,0)</f>
        <v>0</v>
      </c>
      <c r="H791" s="280">
        <f>ROUND(BI65,0)</f>
        <v>0</v>
      </c>
      <c r="I791" s="280">
        <f>ROUND(BI66,0)</f>
        <v>0</v>
      </c>
      <c r="J791" s="280">
        <f>ROUND(BI67,0)</f>
        <v>0</v>
      </c>
      <c r="K791" s="280">
        <f>ROUND(BI68,0)</f>
        <v>0</v>
      </c>
      <c r="L791" s="280">
        <f>ROUND(BI70,0)</f>
        <v>0</v>
      </c>
      <c r="M791" s="280">
        <f>ROUND(BI71,0)</f>
        <v>0</v>
      </c>
      <c r="N791" s="280"/>
      <c r="O791" s="280"/>
      <c r="P791" s="280">
        <f>IF(BI77&gt;0,ROUND(BI77,0),0)</f>
        <v>0</v>
      </c>
      <c r="Q791" s="280">
        <f>IF(BI78&gt;0,ROUND(BI78,0),0)</f>
        <v>0</v>
      </c>
      <c r="R791" s="280">
        <f>IF(BI79&gt;0,ROUND(BI79,0),0)</f>
        <v>0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5" customHeight="1" x14ac:dyDescent="0.35">
      <c r="A792" s="209" t="str">
        <f>RIGHT($C$84,3)&amp;"*"&amp;RIGHT($C$83,4)&amp;"*"&amp;BJ$55&amp;"*"&amp;"A"</f>
        <v>TAL*199*8510*A</v>
      </c>
      <c r="B792" s="280"/>
      <c r="C792" s="283">
        <f>ROUND(BJ60,2)</f>
        <v>0.11</v>
      </c>
      <c r="D792" s="280">
        <f>ROUND(BJ61,0)</f>
        <v>0</v>
      </c>
      <c r="E792" s="280">
        <f>ROUND(BJ62,0)</f>
        <v>0</v>
      </c>
      <c r="F792" s="280">
        <f>ROUND(BJ63,0)</f>
        <v>0</v>
      </c>
      <c r="G792" s="280">
        <f>ROUND(BJ64,0)</f>
        <v>0</v>
      </c>
      <c r="H792" s="280">
        <f>ROUND(BJ65,0)</f>
        <v>0</v>
      </c>
      <c r="I792" s="280">
        <f>ROUND(BJ66,0)</f>
        <v>0</v>
      </c>
      <c r="J792" s="280">
        <f>ROUND(BJ67,0)</f>
        <v>0</v>
      </c>
      <c r="K792" s="280">
        <f>ROUND(BJ68,0)</f>
        <v>0</v>
      </c>
      <c r="L792" s="280">
        <f>ROUND(BJ70,0)</f>
        <v>0</v>
      </c>
      <c r="M792" s="280">
        <f>ROUND(BJ71,0)</f>
        <v>0</v>
      </c>
      <c r="N792" s="280"/>
      <c r="O792" s="280"/>
      <c r="P792" s="280">
        <f>IF(BJ77&gt;0,ROUND(BJ77,0),0)</f>
        <v>0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5" customHeight="1" x14ac:dyDescent="0.35">
      <c r="A793" s="209" t="str">
        <f>RIGHT($C$84,3)&amp;"*"&amp;RIGHT($C$83,4)&amp;"*"&amp;BK$55&amp;"*"&amp;"A"</f>
        <v>TAL*199*8530*A</v>
      </c>
      <c r="B793" s="280"/>
      <c r="C793" s="283">
        <f>ROUND(BK60,2)</f>
        <v>0</v>
      </c>
      <c r="D793" s="280">
        <f>ROUND(BK61,0)</f>
        <v>0</v>
      </c>
      <c r="E793" s="280">
        <f>ROUND(BK62,0)</f>
        <v>0</v>
      </c>
      <c r="F793" s="280">
        <f>ROUND(BK63,0)</f>
        <v>0</v>
      </c>
      <c r="G793" s="280">
        <f>ROUND(BK64,0)</f>
        <v>30</v>
      </c>
      <c r="H793" s="280">
        <f>ROUND(BK65,0)</f>
        <v>0</v>
      </c>
      <c r="I793" s="280">
        <f>ROUND(BK66,0)</f>
        <v>-95826</v>
      </c>
      <c r="J793" s="280">
        <f>ROUND(BK67,0)</f>
        <v>52549</v>
      </c>
      <c r="K793" s="280">
        <f>ROUND(BK68,0)</f>
        <v>0</v>
      </c>
      <c r="L793" s="280">
        <f>ROUND(BK70,0)</f>
        <v>0</v>
      </c>
      <c r="M793" s="280">
        <f>ROUND(BK71,0)</f>
        <v>-43247</v>
      </c>
      <c r="N793" s="280"/>
      <c r="O793" s="280"/>
      <c r="P793" s="280">
        <f>IF(BK77&gt;0,ROUND(BK77,0),0)</f>
        <v>0</v>
      </c>
      <c r="Q793" s="280">
        <f>IF(BK78&gt;0,ROUND(BK78,0),0)</f>
        <v>0</v>
      </c>
      <c r="R793" s="280">
        <f>IF(BK79&gt;0,ROUND(BK79,0),0)</f>
        <v>0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5" customHeight="1" x14ac:dyDescent="0.35">
      <c r="A794" s="209" t="str">
        <f>RIGHT($C$84,3)&amp;"*"&amp;RIGHT($C$83,4)&amp;"*"&amp;BL$55&amp;"*"&amp;"A"</f>
        <v>TAL*199*8560*A</v>
      </c>
      <c r="B794" s="280"/>
      <c r="C794" s="283">
        <f>ROUND(BL60,2)</f>
        <v>12.37</v>
      </c>
      <c r="D794" s="280">
        <f>ROUND(BL61,0)</f>
        <v>426425</v>
      </c>
      <c r="E794" s="280">
        <f>ROUND(BL62,0)</f>
        <v>143745</v>
      </c>
      <c r="F794" s="280">
        <f>ROUND(BL63,0)</f>
        <v>0</v>
      </c>
      <c r="G794" s="280">
        <f>ROUND(BL64,0)</f>
        <v>8403</v>
      </c>
      <c r="H794" s="280">
        <f>ROUND(BL65,0)</f>
        <v>1092</v>
      </c>
      <c r="I794" s="280">
        <f>ROUND(BL66,0)</f>
        <v>6156</v>
      </c>
      <c r="J794" s="280">
        <f>ROUND(BL67,0)</f>
        <v>0</v>
      </c>
      <c r="K794" s="280">
        <f>ROUND(BL68,0)</f>
        <v>0</v>
      </c>
      <c r="L794" s="280">
        <f>ROUND(BL70,0)</f>
        <v>0</v>
      </c>
      <c r="M794" s="280">
        <f>ROUND(BL71,0)</f>
        <v>585821</v>
      </c>
      <c r="N794" s="280"/>
      <c r="O794" s="280"/>
      <c r="P794" s="280">
        <f>IF(BL77&gt;0,ROUND(BL77,0),0)</f>
        <v>0</v>
      </c>
      <c r="Q794" s="280">
        <f>IF(BL78&gt;0,ROUND(BL78,0),0)</f>
        <v>0</v>
      </c>
      <c r="R794" s="280">
        <f>IF(BL79&gt;0,ROUND(BL79,0),0)</f>
        <v>0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5" customHeight="1" x14ac:dyDescent="0.35">
      <c r="A795" s="209" t="str">
        <f>RIGHT($C$84,3)&amp;"*"&amp;RIGHT($C$83,4)&amp;"*"&amp;BM$55&amp;"*"&amp;"A"</f>
        <v>TAL*199*8590*A</v>
      </c>
      <c r="B795" s="280"/>
      <c r="C795" s="283">
        <f>ROUND(BM60,2)</f>
        <v>0</v>
      </c>
      <c r="D795" s="280">
        <f>ROUND(BM61,0)</f>
        <v>3691</v>
      </c>
      <c r="E795" s="280">
        <f>ROUND(BM62,0)</f>
        <v>472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36</v>
      </c>
      <c r="J795" s="280">
        <f>ROUND(BM67,0)</f>
        <v>0</v>
      </c>
      <c r="K795" s="280">
        <f>ROUND(BM68,0)</f>
        <v>0</v>
      </c>
      <c r="L795" s="280">
        <f>ROUND(BM70,0)</f>
        <v>0</v>
      </c>
      <c r="M795" s="280">
        <f>ROUND(BM71,0)</f>
        <v>4200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5" customHeight="1" x14ac:dyDescent="0.35">
      <c r="A796" s="209" t="str">
        <f>RIGHT($C$84,3)&amp;"*"&amp;RIGHT($C$83,4)&amp;"*"&amp;BN$55&amp;"*"&amp;"A"</f>
        <v>TAL*199*8610*A</v>
      </c>
      <c r="B796" s="280"/>
      <c r="C796" s="283">
        <f>ROUND(BN60,2)</f>
        <v>0.92</v>
      </c>
      <c r="D796" s="280">
        <f>ROUND(BN61,0)</f>
        <v>76051</v>
      </c>
      <c r="E796" s="280">
        <f>ROUND(BN62,0)</f>
        <v>-1289104</v>
      </c>
      <c r="F796" s="280">
        <f>ROUND(BN63,0)</f>
        <v>0</v>
      </c>
      <c r="G796" s="280">
        <f>ROUND(BN64,0)</f>
        <v>97443</v>
      </c>
      <c r="H796" s="280">
        <f>ROUND(BN65,0)</f>
        <v>33028</v>
      </c>
      <c r="I796" s="280">
        <f>ROUND(BN66,0)</f>
        <v>2343990</v>
      </c>
      <c r="J796" s="280">
        <f>ROUND(BN67,0)</f>
        <v>46096</v>
      </c>
      <c r="K796" s="280">
        <f>ROUND(BN68,0)</f>
        <v>5708</v>
      </c>
      <c r="L796" s="280">
        <f>ROUND(BN70,0)</f>
        <v>0</v>
      </c>
      <c r="M796" s="280">
        <f>ROUND(BN71,0)</f>
        <v>2294039</v>
      </c>
      <c r="N796" s="280"/>
      <c r="O796" s="280"/>
      <c r="P796" s="280">
        <f>IF(BN77&gt;0,ROUND(BN77,0),0)</f>
        <v>0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5" customHeight="1" x14ac:dyDescent="0.35">
      <c r="A797" s="209" t="str">
        <f>RIGHT($C$84,3)&amp;"*"&amp;RIGHT($C$83,4)&amp;"*"&amp;BO$55&amp;"*"&amp;"A"</f>
        <v>TAL*199*8620*A</v>
      </c>
      <c r="B797" s="280"/>
      <c r="C797" s="283">
        <f>ROUND(BO60,2)</f>
        <v>0</v>
      </c>
      <c r="D797" s="280">
        <f>ROUND(BO61,0)</f>
        <v>0</v>
      </c>
      <c r="E797" s="280">
        <f>ROUND(BO62,0)</f>
        <v>0</v>
      </c>
      <c r="F797" s="280">
        <f>ROUND(BO63,0)</f>
        <v>2080</v>
      </c>
      <c r="G797" s="280">
        <f>ROUND(BO64,0)</f>
        <v>1904</v>
      </c>
      <c r="H797" s="280">
        <f>ROUND(BO65,0)</f>
        <v>0</v>
      </c>
      <c r="I797" s="280">
        <f>ROUND(BO66,0)</f>
        <v>-1068</v>
      </c>
      <c r="J797" s="280">
        <f>ROUND(BO67,0)</f>
        <v>0</v>
      </c>
      <c r="K797" s="280">
        <f>ROUND(BO68,0)</f>
        <v>0</v>
      </c>
      <c r="L797" s="280">
        <f>ROUND(BO70,0)</f>
        <v>0</v>
      </c>
      <c r="M797" s="280">
        <f>ROUND(BO71,0)</f>
        <v>2917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5" customHeight="1" x14ac:dyDescent="0.35">
      <c r="A798" s="209" t="str">
        <f>RIGHT($C$84,3)&amp;"*"&amp;RIGHT($C$83,4)&amp;"*"&amp;BP$55&amp;"*"&amp;"A"</f>
        <v>TAL*199*8630*A</v>
      </c>
      <c r="B798" s="280"/>
      <c r="C798" s="283">
        <f>ROUND(BP60,2)</f>
        <v>0</v>
      </c>
      <c r="D798" s="280">
        <f>ROUND(BP61,0)</f>
        <v>0</v>
      </c>
      <c r="E798" s="280">
        <f>ROUND(BP62,0)</f>
        <v>0</v>
      </c>
      <c r="F798" s="280">
        <f>ROUND(BP63,0)</f>
        <v>0</v>
      </c>
      <c r="G798" s="280">
        <f>ROUND(BP64,0)</f>
        <v>1091</v>
      </c>
      <c r="H798" s="280">
        <f>ROUND(BP65,0)</f>
        <v>0</v>
      </c>
      <c r="I798" s="280">
        <f>ROUND(BP66,0)</f>
        <v>1878</v>
      </c>
      <c r="J798" s="280">
        <f>ROUND(BP67,0)</f>
        <v>0</v>
      </c>
      <c r="K798" s="280">
        <f>ROUND(BP68,0)</f>
        <v>0</v>
      </c>
      <c r="L798" s="280">
        <f>ROUND(BP70,0)</f>
        <v>0</v>
      </c>
      <c r="M798" s="280">
        <f>ROUND(BP71,0)</f>
        <v>2969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5" customHeight="1" x14ac:dyDescent="0.35">
      <c r="A799" s="209" t="str">
        <f>RIGHT($C$84,3)&amp;"*"&amp;RIGHT($C$83,4)&amp;"*"&amp;BQ$55&amp;"*"&amp;"A"</f>
        <v>TAL*199*8640*A</v>
      </c>
      <c r="B799" s="280"/>
      <c r="C799" s="283">
        <f>ROUND(BQ60,2)</f>
        <v>0</v>
      </c>
      <c r="D799" s="280">
        <f>ROUND(BQ61,0)</f>
        <v>0</v>
      </c>
      <c r="E799" s="280">
        <f>ROUND(BQ62,0)</f>
        <v>0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>
        <f>ROUND(BQ67,0)</f>
        <v>0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5" customHeight="1" x14ac:dyDescent="0.35">
      <c r="A800" s="209" t="str">
        <f>RIGHT($C$84,3)&amp;"*"&amp;RIGHT($C$83,4)&amp;"*"&amp;BR$55&amp;"*"&amp;"A"</f>
        <v>TAL*199*8650*A</v>
      </c>
      <c r="B800" s="280"/>
      <c r="C800" s="283">
        <f>ROUND(BR60,2)</f>
        <v>0.14000000000000001</v>
      </c>
      <c r="D800" s="280">
        <f>ROUND(BR61,0)</f>
        <v>7416</v>
      </c>
      <c r="E800" s="280">
        <f>ROUND(BR62,0)</f>
        <v>793</v>
      </c>
      <c r="F800" s="280">
        <f>ROUND(BR63,0)</f>
        <v>0</v>
      </c>
      <c r="G800" s="280">
        <f>ROUND(BR64,0)</f>
        <v>571</v>
      </c>
      <c r="H800" s="280">
        <f>ROUND(BR65,0)</f>
        <v>0</v>
      </c>
      <c r="I800" s="280">
        <f>ROUND(BR66,0)</f>
        <v>5040</v>
      </c>
      <c r="J800" s="280">
        <f>ROUND(BR67,0)</f>
        <v>8576</v>
      </c>
      <c r="K800" s="280">
        <f>ROUND(BR68,0)</f>
        <v>0</v>
      </c>
      <c r="L800" s="280">
        <f>ROUND(BR70,0)</f>
        <v>0</v>
      </c>
      <c r="M800" s="280">
        <f>ROUND(BR71,0)</f>
        <v>22396</v>
      </c>
      <c r="N800" s="280"/>
      <c r="O800" s="280"/>
      <c r="P800" s="280">
        <f>IF(BR77&gt;0,ROUND(BR77,0),0)</f>
        <v>0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5" customHeight="1" x14ac:dyDescent="0.35">
      <c r="A801" s="209" t="str">
        <f>RIGHT($C$84,3)&amp;"*"&amp;RIGHT($C$83,4)&amp;"*"&amp;BS$55&amp;"*"&amp;"A"</f>
        <v>TAL*199*8660*A</v>
      </c>
      <c r="B801" s="280"/>
      <c r="C801" s="283">
        <f>ROUND(BS60,2)</f>
        <v>0</v>
      </c>
      <c r="D801" s="280">
        <f>ROUND(BS61,0)</f>
        <v>0</v>
      </c>
      <c r="E801" s="280">
        <f>ROUND(BS62,0)</f>
        <v>0</v>
      </c>
      <c r="F801" s="280">
        <f>ROUND(BS63,0)</f>
        <v>0</v>
      </c>
      <c r="G801" s="280">
        <f>ROUND(BS64,0)</f>
        <v>0</v>
      </c>
      <c r="H801" s="280">
        <f>ROUND(BS65,0)</f>
        <v>0</v>
      </c>
      <c r="I801" s="280">
        <f>ROUND(BS66,0)</f>
        <v>177</v>
      </c>
      <c r="J801" s="280">
        <f>ROUND(BS67,0)</f>
        <v>6306</v>
      </c>
      <c r="K801" s="280">
        <f>ROUND(BS68,0)</f>
        <v>0</v>
      </c>
      <c r="L801" s="280">
        <f>ROUND(BS70,0)</f>
        <v>0</v>
      </c>
      <c r="M801" s="280">
        <f>ROUND(BS71,0)</f>
        <v>6483</v>
      </c>
      <c r="N801" s="280"/>
      <c r="O801" s="280"/>
      <c r="P801" s="280">
        <f>IF(BS77&gt;0,ROUND(BS77,0),0)</f>
        <v>0</v>
      </c>
      <c r="Q801" s="280">
        <f>IF(BS78&gt;0,ROUND(BS78,0),0)</f>
        <v>0</v>
      </c>
      <c r="R801" s="280">
        <f>IF(BS79&gt;0,ROUND(BS79,0),0)</f>
        <v>0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5" customHeight="1" x14ac:dyDescent="0.35">
      <c r="A802" s="209" t="str">
        <f>RIGHT($C$84,3)&amp;"*"&amp;RIGHT($C$83,4)&amp;"*"&amp;BT$55&amp;"*"&amp;"A"</f>
        <v>TAL*199*8670*A</v>
      </c>
      <c r="B802" s="280"/>
      <c r="C802" s="283">
        <f>ROUND(BT60,2)</f>
        <v>0</v>
      </c>
      <c r="D802" s="280">
        <f>ROUND(BT61,0)</f>
        <v>0</v>
      </c>
      <c r="E802" s="280">
        <f>ROUND(BT62,0)</f>
        <v>0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>
        <f>ROUND(BT67,0)</f>
        <v>7987</v>
      </c>
      <c r="K802" s="280">
        <f>ROUND(BT68,0)</f>
        <v>0</v>
      </c>
      <c r="L802" s="280">
        <f>ROUND(BT70,0)</f>
        <v>0</v>
      </c>
      <c r="M802" s="280">
        <f>ROUND(BT71,0)</f>
        <v>7987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5" customHeight="1" x14ac:dyDescent="0.35">
      <c r="A803" s="209" t="str">
        <f>RIGHT($C$84,3)&amp;"*"&amp;RIGHT($C$83,4)&amp;"*"&amp;BU$55&amp;"*"&amp;"A"</f>
        <v>TAL*199*8680*A</v>
      </c>
      <c r="B803" s="280"/>
      <c r="C803" s="283">
        <f>ROUND(BU60,2)</f>
        <v>0</v>
      </c>
      <c r="D803" s="280">
        <f>ROUND(BU61,0)</f>
        <v>0</v>
      </c>
      <c r="E803" s="280">
        <f>ROUND(BU62,0)</f>
        <v>0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>
        <f>ROUND(BU67,0)</f>
        <v>0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5" customHeight="1" x14ac:dyDescent="0.35">
      <c r="A804" s="209" t="str">
        <f>RIGHT($C$84,3)&amp;"*"&amp;RIGHT($C$83,4)&amp;"*"&amp;BV$55&amp;"*"&amp;"A"</f>
        <v>TAL*199*8690*A</v>
      </c>
      <c r="B804" s="280"/>
      <c r="C804" s="283">
        <f>ROUND(BV60,2)</f>
        <v>3.06</v>
      </c>
      <c r="D804" s="280">
        <f>ROUND(BV61,0)</f>
        <v>142871</v>
      </c>
      <c r="E804" s="280">
        <f>ROUND(BV62,0)</f>
        <v>46063</v>
      </c>
      <c r="F804" s="280">
        <f>ROUND(BV63,0)</f>
        <v>0</v>
      </c>
      <c r="G804" s="280">
        <f>ROUND(BV64,0)</f>
        <v>328</v>
      </c>
      <c r="H804" s="280">
        <f>ROUND(BV65,0)</f>
        <v>0</v>
      </c>
      <c r="I804" s="280">
        <f>ROUND(BV66,0)</f>
        <v>17548</v>
      </c>
      <c r="J804" s="280">
        <f>ROUND(BV67,0)</f>
        <v>28587</v>
      </c>
      <c r="K804" s="280">
        <f>ROUND(BV68,0)</f>
        <v>9054</v>
      </c>
      <c r="L804" s="280">
        <f>ROUND(BV70,0)</f>
        <v>0</v>
      </c>
      <c r="M804" s="280">
        <f>ROUND(BV71,0)</f>
        <v>297191</v>
      </c>
      <c r="N804" s="280"/>
      <c r="O804" s="280"/>
      <c r="P804" s="280">
        <f>IF(BV77&gt;0,ROUND(BV77,0),0)</f>
        <v>0</v>
      </c>
      <c r="Q804" s="280">
        <f>IF(BV78&gt;0,ROUND(BV78,0),0)</f>
        <v>0</v>
      </c>
      <c r="R804" s="280">
        <f>IF(BV79&gt;0,ROUND(BV79,0),0)</f>
        <v>0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5" customHeight="1" x14ac:dyDescent="0.35">
      <c r="A805" s="209" t="str">
        <f>RIGHT($C$84,3)&amp;"*"&amp;RIGHT($C$83,4)&amp;"*"&amp;BW$55&amp;"*"&amp;"A"</f>
        <v>TAL*199*8700*A</v>
      </c>
      <c r="B805" s="280"/>
      <c r="C805" s="283">
        <f>ROUND(BW60,2)</f>
        <v>0</v>
      </c>
      <c r="D805" s="280">
        <f>ROUND(BW61,0)</f>
        <v>0</v>
      </c>
      <c r="E805" s="280">
        <f>ROUND(BW62,0)</f>
        <v>0</v>
      </c>
      <c r="F805" s="280">
        <f>ROUND(BW63,0)</f>
        <v>0</v>
      </c>
      <c r="G805" s="280">
        <f>ROUND(BW64,0)</f>
        <v>0</v>
      </c>
      <c r="H805" s="280">
        <f>ROUND(BW65,0)</f>
        <v>0</v>
      </c>
      <c r="I805" s="280">
        <f>ROUND(BW66,0)</f>
        <v>0</v>
      </c>
      <c r="J805" s="280">
        <f>ROUND(BW67,0)</f>
        <v>0</v>
      </c>
      <c r="K805" s="280">
        <f>ROUND(BW68,0)</f>
        <v>0</v>
      </c>
      <c r="L805" s="280">
        <f>ROUND(BW70,0)</f>
        <v>0</v>
      </c>
      <c r="M805" s="280">
        <f>ROUND(BW71,0)</f>
        <v>0</v>
      </c>
      <c r="N805" s="280"/>
      <c r="O805" s="280"/>
      <c r="P805" s="280">
        <f>IF(BW77&gt;0,ROUND(BW77,0),0)</f>
        <v>0</v>
      </c>
      <c r="Q805" s="280">
        <f>IF(BW78&gt;0,ROUND(BW78,0),0)</f>
        <v>0</v>
      </c>
      <c r="R805" s="280">
        <f>IF(BW79&gt;0,ROUND(BW79,0),0)</f>
        <v>0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5" customHeight="1" x14ac:dyDescent="0.35">
      <c r="A806" s="209" t="str">
        <f>RIGHT($C$84,3)&amp;"*"&amp;RIGHT($C$83,4)&amp;"*"&amp;BX$55&amp;"*"&amp;"A"</f>
        <v>TAL*199*8710*A</v>
      </c>
      <c r="B806" s="280"/>
      <c r="C806" s="283">
        <f>ROUND(BX60,2)</f>
        <v>1.88</v>
      </c>
      <c r="D806" s="280">
        <f>ROUND(BX61,0)</f>
        <v>173735</v>
      </c>
      <c r="E806" s="280">
        <f>ROUND(BX62,0)</f>
        <v>44985</v>
      </c>
      <c r="F806" s="280">
        <f>ROUND(BX63,0)</f>
        <v>0</v>
      </c>
      <c r="G806" s="280">
        <f>ROUND(BX64,0)</f>
        <v>281</v>
      </c>
      <c r="H806" s="280">
        <f>ROUND(BX65,0)</f>
        <v>0</v>
      </c>
      <c r="I806" s="280">
        <f>ROUND(BX66,0)</f>
        <v>6928</v>
      </c>
      <c r="J806" s="280">
        <f>ROUND(BX67,0)</f>
        <v>6810</v>
      </c>
      <c r="K806" s="280">
        <f>ROUND(BX68,0)</f>
        <v>0</v>
      </c>
      <c r="L806" s="280">
        <f>ROUND(BX70,0)</f>
        <v>0</v>
      </c>
      <c r="M806" s="280">
        <f>ROUND(BX71,0)</f>
        <v>232740</v>
      </c>
      <c r="N806" s="280"/>
      <c r="O806" s="280"/>
      <c r="P806" s="280">
        <f>IF(BX77&gt;0,ROUND(BX77,0),0)</f>
        <v>0</v>
      </c>
      <c r="Q806" s="280">
        <f>IF(BX78&gt;0,ROUND(BX78,0),0)</f>
        <v>0</v>
      </c>
      <c r="R806" s="280">
        <f>IF(BX79&gt;0,ROUND(BX79,0),0)</f>
        <v>0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5" customHeight="1" x14ac:dyDescent="0.35">
      <c r="A807" s="209" t="str">
        <f>RIGHT($C$84,3)&amp;"*"&amp;RIGHT($C$83,4)&amp;"*"&amp;BY$55&amp;"*"&amp;"A"</f>
        <v>TAL*199*8720*A</v>
      </c>
      <c r="B807" s="280"/>
      <c r="C807" s="283">
        <f>ROUND(BY60,2)</f>
        <v>4.6500000000000004</v>
      </c>
      <c r="D807" s="280">
        <f>ROUND(BY61,0)</f>
        <v>365775</v>
      </c>
      <c r="E807" s="280">
        <f>ROUND(BY62,0)</f>
        <v>81326</v>
      </c>
      <c r="F807" s="280">
        <f>ROUND(BY63,0)</f>
        <v>0</v>
      </c>
      <c r="G807" s="280">
        <f>ROUND(BY64,0)</f>
        <v>123</v>
      </c>
      <c r="H807" s="280">
        <f>ROUND(BY65,0)</f>
        <v>0</v>
      </c>
      <c r="I807" s="280">
        <f>ROUND(BY66,0)</f>
        <v>5755</v>
      </c>
      <c r="J807" s="280">
        <f>ROUND(BY67,0)</f>
        <v>0</v>
      </c>
      <c r="K807" s="280">
        <f>ROUND(BY68,0)</f>
        <v>0</v>
      </c>
      <c r="L807" s="280">
        <f>ROUND(BY70,0)</f>
        <v>0</v>
      </c>
      <c r="M807" s="280">
        <f>ROUND(BY71,0)</f>
        <v>455820</v>
      </c>
      <c r="N807" s="280"/>
      <c r="O807" s="280"/>
      <c r="P807" s="280">
        <f>IF(BY77&gt;0,ROUND(BY77,0),0)</f>
        <v>0</v>
      </c>
      <c r="Q807" s="280">
        <f>IF(BY78&gt;0,ROUND(BY78,0),0)</f>
        <v>0</v>
      </c>
      <c r="R807" s="280">
        <f>IF(BY79&gt;0,ROUND(BY79,0),0)</f>
        <v>0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5" customHeight="1" x14ac:dyDescent="0.35">
      <c r="A808" s="209" t="str">
        <f>RIGHT($C$84,3)&amp;"*"&amp;RIGHT($C$83,4)&amp;"*"&amp;BZ$55&amp;"*"&amp;"A"</f>
        <v>TAL*199*8730*A</v>
      </c>
      <c r="B808" s="280"/>
      <c r="C808" s="283">
        <f>ROUND(BZ60,2)</f>
        <v>0</v>
      </c>
      <c r="D808" s="280">
        <f>ROUND(BZ61,0)</f>
        <v>0</v>
      </c>
      <c r="E808" s="280">
        <f>ROUND(BZ62,0)</f>
        <v>0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>
        <f>ROUND(BZ67,0)</f>
        <v>0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5" customHeight="1" x14ac:dyDescent="0.35">
      <c r="A809" s="209" t="str">
        <f>RIGHT($C$84,3)&amp;"*"&amp;RIGHT($C$83,4)&amp;"*"&amp;CA$55&amp;"*"&amp;"A"</f>
        <v>TAL*199*8740*A</v>
      </c>
      <c r="B809" s="280"/>
      <c r="C809" s="283">
        <f>ROUND(CA60,2)</f>
        <v>0.01</v>
      </c>
      <c r="D809" s="280">
        <f>ROUND(CA61,0)</f>
        <v>731</v>
      </c>
      <c r="E809" s="280">
        <f>ROUND(CA62,0)</f>
        <v>59</v>
      </c>
      <c r="F809" s="280">
        <f>ROUND(CA63,0)</f>
        <v>0</v>
      </c>
      <c r="G809" s="280">
        <f>ROUND(CA64,0)</f>
        <v>407</v>
      </c>
      <c r="H809" s="280">
        <f>ROUND(CA65,0)</f>
        <v>0</v>
      </c>
      <c r="I809" s="280">
        <f>ROUND(CA66,0)</f>
        <v>534</v>
      </c>
      <c r="J809" s="280">
        <f>ROUND(CA67,0)</f>
        <v>0</v>
      </c>
      <c r="K809" s="280">
        <f>ROUND(CA68,0)</f>
        <v>0</v>
      </c>
      <c r="L809" s="280">
        <f>ROUND(CA70,0)</f>
        <v>0</v>
      </c>
      <c r="M809" s="280">
        <f>ROUND(CA71,0)</f>
        <v>39916</v>
      </c>
      <c r="N809" s="280"/>
      <c r="O809" s="280"/>
      <c r="P809" s="280">
        <f>IF(CA77&gt;0,ROUND(CA77,0),0)</f>
        <v>0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5" customHeight="1" x14ac:dyDescent="0.35">
      <c r="A810" s="209" t="str">
        <f>RIGHT($C$84,3)&amp;"*"&amp;RIGHT($C$83,4)&amp;"*"&amp;CB$55&amp;"*"&amp;"A"</f>
        <v>TAL*199*8770*A</v>
      </c>
      <c r="B810" s="280"/>
      <c r="C810" s="283">
        <f>ROUND(CB60,2)</f>
        <v>0</v>
      </c>
      <c r="D810" s="280">
        <f>ROUND(CB61,0)</f>
        <v>0</v>
      </c>
      <c r="E810" s="280">
        <f>ROUND(CB62,0)</f>
        <v>0</v>
      </c>
      <c r="F810" s="280">
        <f>ROUND(CB63,0)</f>
        <v>0</v>
      </c>
      <c r="G810" s="280">
        <f>ROUND(CB64,0)</f>
        <v>0</v>
      </c>
      <c r="H810" s="280">
        <f>ROUND(CB65,0)</f>
        <v>0</v>
      </c>
      <c r="I810" s="280">
        <f>ROUND(CB66,0)</f>
        <v>0</v>
      </c>
      <c r="J810" s="280">
        <f>ROUND(CB67,0)</f>
        <v>0</v>
      </c>
      <c r="K810" s="280">
        <f>ROUND(CB68,0)</f>
        <v>0</v>
      </c>
      <c r="L810" s="280">
        <f>ROUND(CB70,0)</f>
        <v>0</v>
      </c>
      <c r="M810" s="280">
        <f>ROUND(CB71,0)</f>
        <v>0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5" customHeight="1" x14ac:dyDescent="0.35">
      <c r="A811" s="209" t="str">
        <f>RIGHT($C$84,3)&amp;"*"&amp;RIGHT($C$83,4)&amp;"*"&amp;CC$55&amp;"*"&amp;"A"</f>
        <v>TAL*199*8790*A</v>
      </c>
      <c r="B811" s="280"/>
      <c r="C811" s="283">
        <f>ROUND(CC60,2)</f>
        <v>0</v>
      </c>
      <c r="D811" s="280">
        <f>ROUND(CC61,0)</f>
        <v>0</v>
      </c>
      <c r="E811" s="280">
        <f>ROUND(CC62,0)</f>
        <v>5285</v>
      </c>
      <c r="F811" s="280">
        <f>ROUND(CC63,0)</f>
        <v>1188700</v>
      </c>
      <c r="G811" s="280">
        <f>ROUND(CC64,0)</f>
        <v>671</v>
      </c>
      <c r="H811" s="280">
        <f>ROUND(CC65,0)</f>
        <v>0</v>
      </c>
      <c r="I811" s="280">
        <f>ROUND(CC66,0)</f>
        <v>252</v>
      </c>
      <c r="J811" s="280">
        <f>ROUND(CC67,0)</f>
        <v>181987</v>
      </c>
      <c r="K811" s="280">
        <f>ROUND(CC68,0)</f>
        <v>0</v>
      </c>
      <c r="L811" s="280">
        <f>ROUND(CC70,0)</f>
        <v>0</v>
      </c>
      <c r="M811" s="280">
        <f>ROUND(CC71,0)</f>
        <v>1606254</v>
      </c>
      <c r="N811" s="280"/>
      <c r="O811" s="280"/>
      <c r="P811" s="280">
        <f>IF(CC77&gt;0,ROUND(CC77,0),0)</f>
        <v>0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5" customHeight="1" x14ac:dyDescent="0.35">
      <c r="A812" s="209" t="str">
        <f>RIGHT($C$84,3)&amp;"*"&amp;RIGHT($C$83,4)&amp;"*"&amp;"9000"&amp;"*"&amp;"A"</f>
        <v>TAL*199*9000*A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0</v>
      </c>
      <c r="V812" s="180">
        <f>ROUND(CD69,0)</f>
        <v>0</v>
      </c>
      <c r="W812" s="180">
        <f>ROUND(CD71,0)</f>
        <v>0</v>
      </c>
      <c r="X812" s="280">
        <f>ROUND(CE73,0)</f>
        <v>37895332</v>
      </c>
      <c r="Y812" s="280">
        <f>ROUND(C132,0)</f>
        <v>0</v>
      </c>
      <c r="Z812" s="280"/>
    </row>
    <row r="814" spans="1:26" ht="12.65" customHeight="1" x14ac:dyDescent="0.35">
      <c r="B814" s="199" t="s">
        <v>1004</v>
      </c>
      <c r="C814" s="262">
        <f t="shared" ref="C814:K814" si="1">SUM(C733:C812)</f>
        <v>176.68999999999991</v>
      </c>
      <c r="D814" s="180">
        <f t="shared" si="1"/>
        <v>10317194</v>
      </c>
      <c r="E814" s="180">
        <f t="shared" si="1"/>
        <v>1678517</v>
      </c>
      <c r="F814" s="180">
        <f t="shared" si="1"/>
        <v>2122158</v>
      </c>
      <c r="G814" s="180">
        <f t="shared" si="1"/>
        <v>1837354</v>
      </c>
      <c r="H814" s="180">
        <f t="shared" si="1"/>
        <v>424775</v>
      </c>
      <c r="I814" s="180">
        <f t="shared" si="1"/>
        <v>5938814</v>
      </c>
      <c r="J814" s="180">
        <f t="shared" si="1"/>
        <v>1477527</v>
      </c>
      <c r="K814" s="180">
        <f t="shared" si="1"/>
        <v>236373</v>
      </c>
      <c r="L814" s="180">
        <f>SUM(L733:L812)+SUM(U733:U812)</f>
        <v>0</v>
      </c>
      <c r="M814" s="180">
        <f>SUM(M733:M812)+SUM(W733:W812)</f>
        <v>25592234</v>
      </c>
      <c r="N814" s="180">
        <f t="shared" ref="N814:Z814" si="2">SUM(N733:N812)</f>
        <v>45644</v>
      </c>
      <c r="O814" s="180">
        <f t="shared" si="2"/>
        <v>78466778</v>
      </c>
      <c r="P814" s="180">
        <f t="shared" si="2"/>
        <v>24026</v>
      </c>
      <c r="Q814" s="180">
        <f t="shared" si="2"/>
        <v>0</v>
      </c>
      <c r="R814" s="180">
        <f t="shared" si="2"/>
        <v>212664</v>
      </c>
      <c r="S814" s="180">
        <f t="shared" si="2"/>
        <v>62</v>
      </c>
      <c r="T814" s="262">
        <f t="shared" si="2"/>
        <v>0</v>
      </c>
      <c r="U814" s="180">
        <f t="shared" si="2"/>
        <v>0</v>
      </c>
      <c r="V814" s="180">
        <f t="shared" si="2"/>
        <v>0</v>
      </c>
      <c r="W814" s="180">
        <f t="shared" si="2"/>
        <v>0</v>
      </c>
      <c r="X814" s="180">
        <f t="shared" si="2"/>
        <v>37895332</v>
      </c>
      <c r="Y814" s="180">
        <f t="shared" si="2"/>
        <v>0</v>
      </c>
      <c r="Z814" s="180" t="e">
        <f t="shared" si="2"/>
        <v>#DIV/0!</v>
      </c>
    </row>
    <row r="815" spans="1:26" ht="12.65" customHeight="1" x14ac:dyDescent="0.35">
      <c r="B815" s="180" t="s">
        <v>1005</v>
      </c>
      <c r="C815" s="262">
        <f>CE60</f>
        <v>176.69199999999989</v>
      </c>
      <c r="D815" s="180">
        <f>CE61</f>
        <v>10317197.050000001</v>
      </c>
      <c r="E815" s="180">
        <f>CE62</f>
        <v>1678517</v>
      </c>
      <c r="F815" s="180">
        <f>CE63</f>
        <v>2122158.16</v>
      </c>
      <c r="G815" s="180">
        <f>CE64</f>
        <v>1837354.3900000004</v>
      </c>
      <c r="H815" s="239">
        <f>CE65</f>
        <v>424774.79</v>
      </c>
      <c r="I815" s="239">
        <f>CE66</f>
        <v>5938813.6800000025</v>
      </c>
      <c r="J815" s="239">
        <f>CE67</f>
        <v>1477527</v>
      </c>
      <c r="K815" s="239">
        <f>CE68</f>
        <v>236372.92999999996</v>
      </c>
      <c r="L815" s="239">
        <f>CE70</f>
        <v>0</v>
      </c>
      <c r="M815" s="239">
        <f>CE71</f>
        <v>25592232.540000003</v>
      </c>
      <c r="N815" s="180">
        <f>CE76</f>
        <v>70293</v>
      </c>
      <c r="O815" s="180">
        <f>CE74</f>
        <v>78466779.440000013</v>
      </c>
      <c r="P815" s="180">
        <f>CE77</f>
        <v>24026</v>
      </c>
      <c r="Q815" s="180">
        <f>CE78</f>
        <v>0</v>
      </c>
      <c r="R815" s="180">
        <f>CE79</f>
        <v>212664</v>
      </c>
      <c r="S815" s="180">
        <f>CE80</f>
        <v>61.02</v>
      </c>
      <c r="T815" s="262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10317197.050000001</v>
      </c>
      <c r="G816" s="239">
        <f>C379</f>
        <v>1678518.44</v>
      </c>
      <c r="H816" s="239">
        <f>C380</f>
        <v>2122158.13</v>
      </c>
      <c r="I816" s="239">
        <f>C381</f>
        <v>1837354.45</v>
      </c>
      <c r="J816" s="239">
        <f>C382</f>
        <v>424774.79</v>
      </c>
      <c r="K816" s="239">
        <f>C383</f>
        <v>5938813.6799999997</v>
      </c>
      <c r="L816" s="239">
        <f>C384+C385+C386+C388</f>
        <v>1491098.6099999999</v>
      </c>
      <c r="M816" s="239">
        <f>C368</f>
        <v>0</v>
      </c>
      <c r="N816" s="180">
        <f>D360</f>
        <v>0</v>
      </c>
      <c r="O816" s="180">
        <f>C358</f>
        <v>0</v>
      </c>
    </row>
  </sheetData>
  <phoneticPr fontId="0" type="noConversion"/>
  <printOptions horizontalCentered="1" gridLinesSet="0"/>
  <pageMargins left="0.25" right="0.25" top="0.5" bottom="0.5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7" t="s">
        <v>1266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1263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1264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1265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ASTRIA TOPPENISH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502 W 4th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Toppenish, WA 98948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H-199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ASTRIA TOPPENISH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Hargis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Maxwell Owens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Bertha Ortega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509-865-3105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509-865-1519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1280</v>
      </c>
      <c r="G23" s="21">
        <f>data!D111</f>
        <v>7484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349</v>
      </c>
      <c r="G26" s="13">
        <f>data!D114</f>
        <v>980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16</v>
      </c>
      <c r="E34" s="49" t="s">
        <v>291</v>
      </c>
      <c r="F34" s="24"/>
      <c r="G34" s="21">
        <f>data!E127</f>
        <v>51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78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ASTRIA TOPPENISH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163</v>
      </c>
      <c r="C7" s="48">
        <f>data!B139</f>
        <v>1097</v>
      </c>
      <c r="D7" s="48">
        <f>data!B140</f>
        <v>8870</v>
      </c>
      <c r="E7" s="48">
        <f>data!B141</f>
        <v>9809910</v>
      </c>
      <c r="F7" s="48">
        <f>data!B142</f>
        <v>11157599</v>
      </c>
      <c r="G7" s="48">
        <f>data!B141+data!B142</f>
        <v>20967509</v>
      </c>
    </row>
    <row r="8" spans="1:13" ht="20.149999999999999" customHeight="1" x14ac:dyDescent="0.35">
      <c r="A8" s="23" t="s">
        <v>297</v>
      </c>
      <c r="B8" s="48">
        <f>data!C138</f>
        <v>1047</v>
      </c>
      <c r="C8" s="48">
        <f>data!C139</f>
        <v>4959</v>
      </c>
      <c r="D8" s="48">
        <f>data!C140</f>
        <v>3292</v>
      </c>
      <c r="E8" s="48">
        <f>data!C141</f>
        <v>25606931</v>
      </c>
      <c r="F8" s="48">
        <f>data!C142</f>
        <v>47244648</v>
      </c>
      <c r="G8" s="48">
        <f>data!C141+data!C142</f>
        <v>72851579</v>
      </c>
    </row>
    <row r="9" spans="1:13" ht="20.149999999999999" customHeight="1" x14ac:dyDescent="0.35">
      <c r="A9" s="23" t="s">
        <v>1058</v>
      </c>
      <c r="B9" s="48">
        <f>data!D138</f>
        <v>419</v>
      </c>
      <c r="C9" s="48">
        <f>data!D139</f>
        <v>2408</v>
      </c>
      <c r="D9" s="48">
        <f>data!D140</f>
        <v>32248</v>
      </c>
      <c r="E9" s="48">
        <f>data!D141</f>
        <v>10138411</v>
      </c>
      <c r="F9" s="48">
        <f>data!D142</f>
        <v>38205797</v>
      </c>
      <c r="G9" s="48">
        <f>data!D141+data!D142</f>
        <v>48344208</v>
      </c>
    </row>
    <row r="10" spans="1:13" ht="20.149999999999999" customHeight="1" x14ac:dyDescent="0.35">
      <c r="A10" s="111" t="s">
        <v>203</v>
      </c>
      <c r="B10" s="48">
        <f>data!E138</f>
        <v>1629</v>
      </c>
      <c r="C10" s="48">
        <f>data!E139</f>
        <v>8464</v>
      </c>
      <c r="D10" s="48">
        <f>data!E140</f>
        <v>44410</v>
      </c>
      <c r="E10" s="48">
        <f>data!E141</f>
        <v>45555252</v>
      </c>
      <c r="F10" s="48">
        <f>data!E142</f>
        <v>96608044</v>
      </c>
      <c r="G10" s="48">
        <f>data!E141+data!E142</f>
        <v>142163296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ASTRIA TOPPENISH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1120692.74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85325.37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3176559.38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-2345423.56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454731.45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2491885.3800000004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371023.7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19630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390653.7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70740.13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106772.71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177512.84000000003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42244.13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1028446.75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1070690.8799999999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1328422.83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1328422.83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ASTRIA TOPPENISH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550000</v>
      </c>
      <c r="D7" s="21">
        <f>data!C195</f>
        <v>0</v>
      </c>
      <c r="E7" s="21">
        <f>data!D195</f>
        <v>0</v>
      </c>
      <c r="F7" s="21">
        <f>data!E195</f>
        <v>550000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26953</v>
      </c>
      <c r="D8" s="21">
        <f>data!C196</f>
        <v>0</v>
      </c>
      <c r="E8" s="21">
        <f>data!D196</f>
        <v>0</v>
      </c>
      <c r="F8" s="21">
        <f>data!E196</f>
        <v>26953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6744017</v>
      </c>
      <c r="D9" s="21">
        <f>data!C197</f>
        <v>1214241.7</v>
      </c>
      <c r="E9" s="21">
        <f>data!D197</f>
        <v>0</v>
      </c>
      <c r="F9" s="21">
        <f>data!E197</f>
        <v>7958258.7000000002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82397</v>
      </c>
      <c r="D10" s="21">
        <f>data!C198</f>
        <v>282774.96000000002</v>
      </c>
      <c r="E10" s="21">
        <f>data!D198</f>
        <v>0</v>
      </c>
      <c r="F10" s="21">
        <f>data!E198</f>
        <v>365171.96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1595897</v>
      </c>
      <c r="D12" s="21">
        <f>data!C200</f>
        <v>-280257.42</v>
      </c>
      <c r="E12" s="21">
        <f>data!D200</f>
        <v>0</v>
      </c>
      <c r="F12" s="21">
        <f>data!E200</f>
        <v>1315639.58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233940</v>
      </c>
      <c r="D13" s="21">
        <f>data!C201</f>
        <v>154136.13</v>
      </c>
      <c r="E13" s="21">
        <f>data!D201</f>
        <v>0</v>
      </c>
      <c r="F13" s="21">
        <f>data!E201</f>
        <v>388076.13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1207200</v>
      </c>
      <c r="D15" s="21">
        <f>data!C203</f>
        <v>-1152123.1000000001</v>
      </c>
      <c r="E15" s="21">
        <f>data!D203</f>
        <v>0</v>
      </c>
      <c r="F15" s="21">
        <f>data!E203</f>
        <v>55076.899999999907</v>
      </c>
      <c r="M15" s="268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10440404</v>
      </c>
      <c r="D16" s="21">
        <f>data!C204</f>
        <v>218772.27000000002</v>
      </c>
      <c r="E16" s="21">
        <f>data!D204</f>
        <v>0</v>
      </c>
      <c r="F16" s="21">
        <f>data!E204</f>
        <v>10659176.270000001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863</v>
      </c>
      <c r="D24" s="21">
        <f>data!C209</f>
        <v>1221.1400000000001</v>
      </c>
      <c r="E24" s="21">
        <f>data!D209</f>
        <v>0</v>
      </c>
      <c r="F24" s="21">
        <f>data!E209</f>
        <v>2084.1400000000003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1043497</v>
      </c>
      <c r="D25" s="21">
        <f>data!C210</f>
        <v>319714.58</v>
      </c>
      <c r="E25" s="21">
        <f>data!D210</f>
        <v>0</v>
      </c>
      <c r="F25" s="21">
        <f>data!E210</f>
        <v>1363211.58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284578.89</v>
      </c>
      <c r="E26" s="21">
        <f>data!D211</f>
        <v>0</v>
      </c>
      <c r="F26" s="21">
        <f>data!E211</f>
        <v>284578.89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991448</v>
      </c>
      <c r="D28" s="21">
        <f>data!C213</f>
        <v>-250511.46</v>
      </c>
      <c r="E28" s="21">
        <f>data!D213</f>
        <v>0</v>
      </c>
      <c r="F28" s="21">
        <f>data!E213</f>
        <v>740936.54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-28376.9</v>
      </c>
      <c r="D29" s="21">
        <f>data!C214</f>
        <v>198467.02</v>
      </c>
      <c r="E29" s="21">
        <f>data!D214</f>
        <v>0</v>
      </c>
      <c r="F29" s="21">
        <f>data!E214</f>
        <v>170090.12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2007431.1</v>
      </c>
      <c r="D32" s="21">
        <f>data!C217</f>
        <v>553470.17000000016</v>
      </c>
      <c r="E32" s="21">
        <f>data!D217</f>
        <v>0</v>
      </c>
      <c r="F32" s="21">
        <f>data!E217</f>
        <v>2560901.27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ASTRIA TOPPENISH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3852695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14833948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51540531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34202226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100576705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8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614309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614309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105043709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ASTRIA TOPPENISH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1635663.75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38323726.719999999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32594442.170000002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368439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1111634.96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556610.94999999995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data!C260</f>
        <v>107573.31</v>
      </c>
      <c r="M15" s="268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9509206.5199999958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550000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26952.880000000001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7958258.7000000002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365172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1703716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55076.34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10659175.92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2560901.27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8098274.6500000004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17607481.169999994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ASTRIA TOPPENISH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2437077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1029175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3478346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437300.19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7381898.1900000004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3645728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10200282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-963431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12882579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12882579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-2656996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-2656996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17607481.190000001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ASTRIA TOPPENISH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45555251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96608044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142163295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1" t="s">
        <v>450</v>
      </c>
      <c r="C115" s="48">
        <f>data!C363</f>
        <v>3852695.08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100605902.43000001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614308.56999999995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-29196.62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105043709.45999999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37119585.540000007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196649.98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196649.98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37316235.520000003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15560911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2491885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2945720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2782613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440092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8223836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714847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390654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177512.84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1070690.8799999999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1328422.83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655548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36782732.550000004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533502.96999999881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9757515.9199999999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10291018.889999999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10291018.889999999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ASTRIA TOPPENISH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220</v>
      </c>
      <c r="D9" s="14">
        <f>data!D59</f>
        <v>0</v>
      </c>
      <c r="E9" s="14">
        <f>data!E59</f>
        <v>2954</v>
      </c>
      <c r="F9" s="14">
        <f>data!F59</f>
        <v>0</v>
      </c>
      <c r="G9" s="14">
        <f>data!G59</f>
        <v>0</v>
      </c>
      <c r="H9" s="14">
        <f>data!H59</f>
        <v>3571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11.33</v>
      </c>
      <c r="D10" s="26">
        <f>data!D60</f>
        <v>0</v>
      </c>
      <c r="E10" s="26">
        <f>data!E60</f>
        <v>16.510000000000002</v>
      </c>
      <c r="F10" s="26">
        <f>data!F60</f>
        <v>0</v>
      </c>
      <c r="G10" s="26">
        <f>data!G60</f>
        <v>0</v>
      </c>
      <c r="H10" s="26">
        <f>data!H60</f>
        <v>32.97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854951.45</v>
      </c>
      <c r="D11" s="14">
        <f>data!D61</f>
        <v>0</v>
      </c>
      <c r="E11" s="14">
        <f>data!E61</f>
        <v>977665.05</v>
      </c>
      <c r="F11" s="14">
        <f>data!F61</f>
        <v>0</v>
      </c>
      <c r="G11" s="14">
        <f>data!G61</f>
        <v>0</v>
      </c>
      <c r="H11" s="14">
        <f>data!H61</f>
        <v>1720066.2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265953</v>
      </c>
      <c r="D12" s="14">
        <f>data!D62</f>
        <v>0</v>
      </c>
      <c r="E12" s="14">
        <f>data!E62</f>
        <v>300176</v>
      </c>
      <c r="F12" s="14">
        <f>data!F62</f>
        <v>0</v>
      </c>
      <c r="G12" s="14">
        <f>data!G62</f>
        <v>0</v>
      </c>
      <c r="H12" s="14">
        <f>data!H62</f>
        <v>603181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17725</v>
      </c>
      <c r="D13" s="14">
        <f>data!D63</f>
        <v>0</v>
      </c>
      <c r="E13" s="14">
        <f>data!E63</f>
        <v>741386.17</v>
      </c>
      <c r="F13" s="14">
        <f>data!F63</f>
        <v>0</v>
      </c>
      <c r="G13" s="14">
        <f>data!G63</f>
        <v>0</v>
      </c>
      <c r="H13" s="14">
        <f>data!H63</f>
        <v>676597.54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134584.14000000001</v>
      </c>
      <c r="D14" s="14">
        <f>data!D64</f>
        <v>0</v>
      </c>
      <c r="E14" s="14">
        <f>data!E64</f>
        <v>46169</v>
      </c>
      <c r="F14" s="14">
        <f>data!F64</f>
        <v>0</v>
      </c>
      <c r="G14" s="14">
        <f>data!G64</f>
        <v>0</v>
      </c>
      <c r="H14" s="14">
        <f>data!H64</f>
        <v>13444.55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421043.35000000003</v>
      </c>
      <c r="D16" s="14">
        <f>data!D66</f>
        <v>0</v>
      </c>
      <c r="E16" s="14">
        <f>data!E66</f>
        <v>-53043.3</v>
      </c>
      <c r="F16" s="14">
        <f>data!F66</f>
        <v>0</v>
      </c>
      <c r="G16" s="14">
        <f>data!G66</f>
        <v>0</v>
      </c>
      <c r="H16" s="14">
        <f>data!H66</f>
        <v>1266035.44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30509</v>
      </c>
      <c r="D17" s="14">
        <f>data!D67</f>
        <v>0</v>
      </c>
      <c r="E17" s="14">
        <f>data!E67</f>
        <v>95014</v>
      </c>
      <c r="F17" s="14">
        <f>data!F67</f>
        <v>0</v>
      </c>
      <c r="G17" s="14">
        <f>data!G67</f>
        <v>0</v>
      </c>
      <c r="H17" s="14">
        <f>data!H67</f>
        <v>39376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-6526.58</v>
      </c>
      <c r="D18" s="14">
        <f>data!D68</f>
        <v>0</v>
      </c>
      <c r="E18" s="14">
        <f>data!E68</f>
        <v>-6526.58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4411.1299999999992</v>
      </c>
      <c r="D19" s="14">
        <f>data!D69</f>
        <v>0</v>
      </c>
      <c r="E19" s="14">
        <f>data!E69</f>
        <v>1500</v>
      </c>
      <c r="F19" s="14">
        <f>data!F69</f>
        <v>0</v>
      </c>
      <c r="G19" s="14">
        <f>data!G69</f>
        <v>0</v>
      </c>
      <c r="H19" s="14">
        <f>data!H69</f>
        <v>1867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1722650.4899999998</v>
      </c>
      <c r="D21" s="14">
        <f>data!D71</f>
        <v>0</v>
      </c>
      <c r="E21" s="14">
        <f>data!E71</f>
        <v>2102340.34</v>
      </c>
      <c r="F21" s="14">
        <f>data!F71</f>
        <v>0</v>
      </c>
      <c r="G21" s="14">
        <f>data!G71</f>
        <v>0</v>
      </c>
      <c r="H21" s="14">
        <f>data!H71</f>
        <v>4320567.7300000004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1399840.06</v>
      </c>
      <c r="D24" s="14">
        <f>data!D73</f>
        <v>0</v>
      </c>
      <c r="E24" s="14">
        <f>data!E73</f>
        <v>8141778.9199999999</v>
      </c>
      <c r="F24" s="14">
        <f>data!F73</f>
        <v>0</v>
      </c>
      <c r="G24" s="14">
        <f>data!G73</f>
        <v>0</v>
      </c>
      <c r="H24" s="14">
        <f>data!H73</f>
        <v>3750280.9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57594.83</v>
      </c>
      <c r="D25" s="14">
        <f>data!D74</f>
        <v>0</v>
      </c>
      <c r="E25" s="14">
        <f>data!E74</f>
        <v>745302.87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1457434.8900000001</v>
      </c>
      <c r="D26" s="14">
        <f>data!D75</f>
        <v>0</v>
      </c>
      <c r="E26" s="14">
        <f>data!E75</f>
        <v>8887081.7899999991</v>
      </c>
      <c r="F26" s="14">
        <f>data!F75</f>
        <v>0</v>
      </c>
      <c r="G26" s="14">
        <f>data!G75</f>
        <v>0</v>
      </c>
      <c r="H26" s="14">
        <f>data!H75</f>
        <v>3750280.9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3000</v>
      </c>
      <c r="D28" s="14">
        <f>data!D76</f>
        <v>0</v>
      </c>
      <c r="E28" s="14">
        <f>data!E76</f>
        <v>9343</v>
      </c>
      <c r="F28" s="14">
        <f>data!F76</f>
        <v>0</v>
      </c>
      <c r="G28" s="14">
        <f>data!G76</f>
        <v>0</v>
      </c>
      <c r="H28" s="14">
        <f>data!H76</f>
        <v>3872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802</v>
      </c>
      <c r="D29" s="14">
        <f>data!D77</f>
        <v>0</v>
      </c>
      <c r="E29" s="14">
        <f>data!E77</f>
        <v>12837</v>
      </c>
      <c r="F29" s="14">
        <f>data!F77</f>
        <v>0</v>
      </c>
      <c r="G29" s="14">
        <f>data!G77</f>
        <v>0</v>
      </c>
      <c r="H29" s="14">
        <f>data!H77</f>
        <v>13015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36033</v>
      </c>
      <c r="D31" s="14">
        <f>data!D79</f>
        <v>0</v>
      </c>
      <c r="E31" s="14">
        <f>data!E79</f>
        <v>48913</v>
      </c>
      <c r="F31" s="14">
        <f>data!F79</f>
        <v>0</v>
      </c>
      <c r="G31" s="14">
        <f>data!G79</f>
        <v>0</v>
      </c>
      <c r="H31" s="14">
        <f>data!H79</f>
        <v>11944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7.06</v>
      </c>
      <c r="D32" s="84">
        <f>data!D80</f>
        <v>0</v>
      </c>
      <c r="E32" s="84">
        <f>data!E80</f>
        <v>13.730000000000002</v>
      </c>
      <c r="F32" s="84">
        <f>data!F80</f>
        <v>0</v>
      </c>
      <c r="G32" s="84">
        <f>data!G80</f>
        <v>0</v>
      </c>
      <c r="H32" s="84">
        <f>data!H80</f>
        <v>13.17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ASTRIA TOPPENISH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980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739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14.780000000000001</v>
      </c>
      <c r="I42" s="26">
        <f>data!P60</f>
        <v>15.79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1407587.34</v>
      </c>
      <c r="I43" s="14">
        <f>data!P61</f>
        <v>504280.98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366065</v>
      </c>
      <c r="I44" s="14">
        <f>data!P62</f>
        <v>168291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161595.04999999999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-20.53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103462.83</v>
      </c>
      <c r="I46" s="14">
        <f>data!P64</f>
        <v>405599.44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315948.17</v>
      </c>
      <c r="I48" s="14">
        <f>data!P66</f>
        <v>255503.52000000002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7119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90153</v>
      </c>
      <c r="I49" s="14">
        <f>data!P67</f>
        <v>24915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-6526.58</v>
      </c>
      <c r="I50" s="14">
        <f>data!P68</f>
        <v>-4255.1499999999996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3431.13</v>
      </c>
      <c r="I51" s="14">
        <f>data!P69</f>
        <v>32203.68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7098.47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2441715.94</v>
      </c>
      <c r="I53" s="14">
        <f>data!P71</f>
        <v>1386538.47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871628.21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3008172.56</v>
      </c>
      <c r="I56" s="14">
        <f>data!P73</f>
        <v>4042741.5999999996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242074.94</v>
      </c>
      <c r="I57" s="14">
        <f>data!P74</f>
        <v>9511766.6999999993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871628.21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3250247.5</v>
      </c>
      <c r="I58" s="14">
        <f>data!P75</f>
        <v>13554508.299999999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700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8865</v>
      </c>
      <c r="I60" s="14">
        <f>data!P76</f>
        <v>2450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2693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23069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12.360000000000001</v>
      </c>
      <c r="I64" s="26">
        <f>data!P80</f>
        <v>4.9400000000000004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ASTRIA TOPPENISH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2.02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11.72</v>
      </c>
      <c r="H74" s="26">
        <f>data!V60</f>
        <v>0</v>
      </c>
      <c r="I74" s="26">
        <f>data!W60</f>
        <v>0.27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189666.56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628360.64</v>
      </c>
      <c r="H75" s="14">
        <f>data!V61</f>
        <v>0</v>
      </c>
      <c r="I75" s="14">
        <f>data!W61</f>
        <v>2701.58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61117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239303</v>
      </c>
      <c r="H76" s="14">
        <f>data!V62</f>
        <v>0</v>
      </c>
      <c r="I76" s="14">
        <f>data!W62</f>
        <v>820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16044.88</v>
      </c>
      <c r="E77" s="14">
        <f>data!S63</f>
        <v>0</v>
      </c>
      <c r="F77" s="14">
        <f>data!T63</f>
        <v>0</v>
      </c>
      <c r="G77" s="14">
        <f>data!U63</f>
        <v>79238.5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24979.78</v>
      </c>
      <c r="D78" s="14">
        <f>data!R64</f>
        <v>16563.900000000001</v>
      </c>
      <c r="E78" s="14">
        <f>data!S64</f>
        <v>174166.29</v>
      </c>
      <c r="F78" s="14">
        <f>data!T64</f>
        <v>0</v>
      </c>
      <c r="G78" s="14">
        <f>data!U64</f>
        <v>622265.36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-881.26</v>
      </c>
      <c r="D80" s="14">
        <f>data!R66</f>
        <v>232689.61000000002</v>
      </c>
      <c r="E80" s="14">
        <f>data!S66</f>
        <v>0</v>
      </c>
      <c r="F80" s="14">
        <f>data!T66</f>
        <v>0</v>
      </c>
      <c r="G80" s="14">
        <f>data!U66</f>
        <v>37795.81</v>
      </c>
      <c r="H80" s="14">
        <f>data!V66</f>
        <v>0</v>
      </c>
      <c r="I80" s="14">
        <f>data!W66</f>
        <v>120002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39712</v>
      </c>
      <c r="D81" s="14">
        <f>data!R67</f>
        <v>1627</v>
      </c>
      <c r="E81" s="14">
        <f>data!S67</f>
        <v>0</v>
      </c>
      <c r="F81" s="14">
        <f>data!T67</f>
        <v>0</v>
      </c>
      <c r="G81" s="14">
        <f>data!U67</f>
        <v>27875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2453.64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3817.44</v>
      </c>
      <c r="E83" s="14">
        <f>data!S69</f>
        <v>13171.45</v>
      </c>
      <c r="F83" s="14">
        <f>data!T69</f>
        <v>0</v>
      </c>
      <c r="G83" s="14">
        <f>data!U69</f>
        <v>106710.56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314594.07999999996</v>
      </c>
      <c r="D85" s="14">
        <f>data!R71</f>
        <v>270742.83</v>
      </c>
      <c r="E85" s="14">
        <f>data!S71</f>
        <v>187337.74000000002</v>
      </c>
      <c r="F85" s="14">
        <f>data!T71</f>
        <v>0</v>
      </c>
      <c r="G85" s="14">
        <f>data!U71</f>
        <v>1744002.51</v>
      </c>
      <c r="H85" s="14">
        <f>data!V71</f>
        <v>0</v>
      </c>
      <c r="I85" s="14">
        <f>data!W71</f>
        <v>123523.58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59604.72</v>
      </c>
      <c r="D88" s="14">
        <f>data!R73</f>
        <v>236845.65</v>
      </c>
      <c r="E88" s="14">
        <f>data!S73</f>
        <v>107993.09</v>
      </c>
      <c r="F88" s="14">
        <f>data!T73</f>
        <v>0</v>
      </c>
      <c r="G88" s="14">
        <f>data!U73</f>
        <v>6428394.7300000004</v>
      </c>
      <c r="H88" s="14">
        <f>data!V73</f>
        <v>325992.96000000002</v>
      </c>
      <c r="I88" s="14">
        <f>data!W73</f>
        <v>46728.31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729341.87</v>
      </c>
      <c r="D89" s="14">
        <f>data!R74</f>
        <v>575543.77</v>
      </c>
      <c r="E89" s="14">
        <f>data!S74</f>
        <v>485393.37</v>
      </c>
      <c r="F89" s="14">
        <f>data!T74</f>
        <v>0</v>
      </c>
      <c r="G89" s="14">
        <f>data!U74</f>
        <v>14265556.359999999</v>
      </c>
      <c r="H89" s="14">
        <f>data!V74</f>
        <v>1075589.6499999999</v>
      </c>
      <c r="I89" s="14">
        <f>data!W74</f>
        <v>885242.2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788946.59</v>
      </c>
      <c r="D90" s="14">
        <f>data!R75</f>
        <v>812389.42</v>
      </c>
      <c r="E90" s="14">
        <f>data!S75</f>
        <v>593386.46</v>
      </c>
      <c r="F90" s="14">
        <f>data!T75</f>
        <v>0</v>
      </c>
      <c r="G90" s="14">
        <f>data!U75</f>
        <v>20693951.09</v>
      </c>
      <c r="H90" s="14">
        <f>data!V75</f>
        <v>1401582.6099999999</v>
      </c>
      <c r="I90" s="14">
        <f>data!W75</f>
        <v>931970.51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3905</v>
      </c>
      <c r="D92" s="14">
        <f>data!R76</f>
        <v>160</v>
      </c>
      <c r="E92" s="14">
        <f>data!S76</f>
        <v>0</v>
      </c>
      <c r="F92" s="14">
        <f>data!T76</f>
        <v>0</v>
      </c>
      <c r="G92" s="14">
        <f>data!U76</f>
        <v>2741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2.0099999999999998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ASTRIA TOPPENISH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0.94</v>
      </c>
      <c r="D106" s="26">
        <f>data!Y60</f>
        <v>9.75</v>
      </c>
      <c r="E106" s="26">
        <f>data!Z60</f>
        <v>0</v>
      </c>
      <c r="F106" s="26">
        <f>data!AA60</f>
        <v>0</v>
      </c>
      <c r="G106" s="26">
        <f>data!AB60</f>
        <v>3.85</v>
      </c>
      <c r="H106" s="26">
        <f>data!AC60</f>
        <v>5.07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58233.46</v>
      </c>
      <c r="D107" s="14">
        <f>data!Y61</f>
        <v>732559.73</v>
      </c>
      <c r="E107" s="14">
        <f>data!Z61</f>
        <v>0</v>
      </c>
      <c r="F107" s="14">
        <f>data!AA61</f>
        <v>0</v>
      </c>
      <c r="G107" s="14">
        <f>data!AB61</f>
        <v>324477.51</v>
      </c>
      <c r="H107" s="14">
        <f>data!AC61</f>
        <v>333311.51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41690</v>
      </c>
      <c r="D108" s="14">
        <f>data!Y62</f>
        <v>210937</v>
      </c>
      <c r="E108" s="14">
        <f>data!Z62</f>
        <v>0</v>
      </c>
      <c r="F108" s="14">
        <f>data!AA62</f>
        <v>0</v>
      </c>
      <c r="G108" s="14">
        <f>data!AB62</f>
        <v>102190</v>
      </c>
      <c r="H108" s="14">
        <f>data!AC62</f>
        <v>112872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29938.58</v>
      </c>
      <c r="D110" s="14">
        <f>data!Y64</f>
        <v>10669.14</v>
      </c>
      <c r="E110" s="14">
        <f>data!Z64</f>
        <v>0</v>
      </c>
      <c r="F110" s="14">
        <f>data!AA64</f>
        <v>0</v>
      </c>
      <c r="G110" s="14">
        <f>data!AB64</f>
        <v>331013.14</v>
      </c>
      <c r="H110" s="14">
        <f>data!AC64</f>
        <v>12989.53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130137.61</v>
      </c>
      <c r="E112" s="14">
        <f>data!Z66</f>
        <v>0</v>
      </c>
      <c r="F112" s="14">
        <f>data!AA66</f>
        <v>20633.84</v>
      </c>
      <c r="G112" s="14">
        <f>data!AB66</f>
        <v>18214.59</v>
      </c>
      <c r="H112" s="14">
        <f>data!AC66</f>
        <v>63293.87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41471</v>
      </c>
      <c r="E113" s="14">
        <f>data!Z67</f>
        <v>0</v>
      </c>
      <c r="F113" s="14">
        <f>data!AA67</f>
        <v>0</v>
      </c>
      <c r="G113" s="14">
        <f>data!AB67</f>
        <v>10800</v>
      </c>
      <c r="H113" s="14">
        <f>data!AC67</f>
        <v>8563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18914.86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99094.98</v>
      </c>
      <c r="E115" s="14">
        <f>data!Z69</f>
        <v>0</v>
      </c>
      <c r="F115" s="14">
        <f>data!AA69</f>
        <v>0</v>
      </c>
      <c r="G115" s="14">
        <f>data!AB69</f>
        <v>34779.839999999997</v>
      </c>
      <c r="H115" s="14">
        <f>data!AC69</f>
        <v>5378.38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129862.04</v>
      </c>
      <c r="D117" s="14">
        <f>data!Y71</f>
        <v>1224869.46</v>
      </c>
      <c r="E117" s="14">
        <f>data!Z71</f>
        <v>0</v>
      </c>
      <c r="F117" s="14">
        <f>data!AA71</f>
        <v>20633.84</v>
      </c>
      <c r="G117" s="14">
        <f>data!AB71</f>
        <v>821475.08</v>
      </c>
      <c r="H117" s="14">
        <f>data!AC71</f>
        <v>555323.15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2250119.94</v>
      </c>
      <c r="D120" s="14">
        <f>data!Y73</f>
        <v>1168793.17</v>
      </c>
      <c r="E120" s="14">
        <f>data!Z73</f>
        <v>0</v>
      </c>
      <c r="F120" s="14">
        <f>data!AA73</f>
        <v>0</v>
      </c>
      <c r="G120" s="14">
        <f>data!AB73</f>
        <v>7252133.9000000004</v>
      </c>
      <c r="H120" s="14">
        <f>data!AC73</f>
        <v>2950349.93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14511708.779999999</v>
      </c>
      <c r="D121" s="14">
        <f>data!Y74</f>
        <v>8962305.8200000003</v>
      </c>
      <c r="E121" s="14">
        <f>data!Z74</f>
        <v>0</v>
      </c>
      <c r="F121" s="14">
        <f>data!AA74</f>
        <v>0</v>
      </c>
      <c r="G121" s="14">
        <f>data!AB74</f>
        <v>2997383.21</v>
      </c>
      <c r="H121" s="14">
        <f>data!AC74</f>
        <v>450248.11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16761828.719999999</v>
      </c>
      <c r="D122" s="14">
        <f>data!Y75</f>
        <v>10131098.99</v>
      </c>
      <c r="E122" s="14">
        <f>data!Z75</f>
        <v>0</v>
      </c>
      <c r="F122" s="14">
        <f>data!AA75</f>
        <v>0</v>
      </c>
      <c r="G122" s="14">
        <f>data!AB75</f>
        <v>10249517.109999999</v>
      </c>
      <c r="H122" s="14">
        <f>data!AC75</f>
        <v>3400598.04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4078</v>
      </c>
      <c r="E124" s="14">
        <f>data!Z76</f>
        <v>0</v>
      </c>
      <c r="F124" s="14">
        <f>data!AA76</f>
        <v>0</v>
      </c>
      <c r="G124" s="14">
        <f>data!AB76</f>
        <v>1062</v>
      </c>
      <c r="H124" s="14">
        <f>data!AC76</f>
        <v>842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20762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ASTRIA TOPPENISH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24.86</v>
      </c>
      <c r="F138" s="26">
        <f>data!AH60</f>
        <v>0</v>
      </c>
      <c r="G138" s="26">
        <f>data!AI60</f>
        <v>0</v>
      </c>
      <c r="H138" s="26">
        <f>data!AJ60</f>
        <v>39.459999999999994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1711350.88</v>
      </c>
      <c r="F139" s="14">
        <f>data!AH61</f>
        <v>0</v>
      </c>
      <c r="G139" s="14">
        <f>data!AI61</f>
        <v>0</v>
      </c>
      <c r="H139" s="14">
        <f>data!AJ61</f>
        <v>4126817.56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554633</v>
      </c>
      <c r="F140" s="14">
        <f>data!AH62</f>
        <v>0</v>
      </c>
      <c r="G140" s="14">
        <f>data!AI62</f>
        <v>0</v>
      </c>
      <c r="H140" s="14">
        <f>data!AJ62</f>
        <v>1091859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4657.68</v>
      </c>
      <c r="D141" s="14">
        <f>data!AF63</f>
        <v>0</v>
      </c>
      <c r="E141" s="14">
        <f>data!AG63</f>
        <v>1232686.1100000001</v>
      </c>
      <c r="F141" s="14">
        <f>data!AH63</f>
        <v>0</v>
      </c>
      <c r="G141" s="14">
        <f>data!AI63</f>
        <v>0</v>
      </c>
      <c r="H141" s="14">
        <f>data!AJ63</f>
        <v>1665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204.61</v>
      </c>
      <c r="D142" s="14">
        <f>data!AF64</f>
        <v>0</v>
      </c>
      <c r="E142" s="14">
        <f>data!AG64</f>
        <v>203986.39</v>
      </c>
      <c r="F142" s="14">
        <f>data!AH64</f>
        <v>0</v>
      </c>
      <c r="G142" s="14">
        <f>data!AI64</f>
        <v>0</v>
      </c>
      <c r="H142" s="14">
        <f>data!AJ64</f>
        <v>167818.06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55672.36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1922.16</v>
      </c>
      <c r="D144" s="14">
        <f>data!AF66</f>
        <v>0</v>
      </c>
      <c r="E144" s="14">
        <f>data!AG66</f>
        <v>145162.91999999998</v>
      </c>
      <c r="F144" s="14">
        <f>data!AH66</f>
        <v>0</v>
      </c>
      <c r="G144" s="14">
        <f>data!AI66</f>
        <v>0</v>
      </c>
      <c r="H144" s="14">
        <f>data!AJ66</f>
        <v>388607.71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5593</v>
      </c>
      <c r="D145" s="14">
        <f>data!AF67</f>
        <v>0</v>
      </c>
      <c r="E145" s="14">
        <f>data!AG67</f>
        <v>47044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-6526.58</v>
      </c>
      <c r="F146" s="14">
        <f>data!AH68</f>
        <v>0</v>
      </c>
      <c r="G146" s="14">
        <f>data!AI68</f>
        <v>0</v>
      </c>
      <c r="H146" s="14">
        <f>data!AJ68</f>
        <v>354007.5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19358.36</v>
      </c>
      <c r="F147" s="14">
        <f>data!AH69</f>
        <v>0</v>
      </c>
      <c r="G147" s="14">
        <f>data!AI69</f>
        <v>0</v>
      </c>
      <c r="H147" s="14">
        <f>data!AJ69</f>
        <v>80309.81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12377.45</v>
      </c>
      <c r="D149" s="14">
        <f>data!AF71</f>
        <v>0</v>
      </c>
      <c r="E149" s="14">
        <f>data!AG71</f>
        <v>3907695.08</v>
      </c>
      <c r="F149" s="14">
        <f>data!AH71</f>
        <v>0</v>
      </c>
      <c r="G149" s="14">
        <f>data!AI71</f>
        <v>0</v>
      </c>
      <c r="H149" s="14">
        <f>data!AJ71</f>
        <v>6266757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62516.86</v>
      </c>
      <c r="D152" s="14">
        <f>data!AF73</f>
        <v>0</v>
      </c>
      <c r="E152" s="14">
        <f>data!AG73</f>
        <v>2520949.36</v>
      </c>
      <c r="F152" s="14">
        <f>data!AH73</f>
        <v>0</v>
      </c>
      <c r="G152" s="14">
        <f>data!AI73</f>
        <v>0</v>
      </c>
      <c r="H152" s="14">
        <f>data!AJ73</f>
        <v>-147</v>
      </c>
      <c r="I152" s="14">
        <f>data!AK73</f>
        <v>-11748.1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148271.18</v>
      </c>
      <c r="D153" s="14">
        <f>data!AF74</f>
        <v>0</v>
      </c>
      <c r="E153" s="14">
        <f>data!AG74</f>
        <v>20644166.620000001</v>
      </c>
      <c r="F153" s="14">
        <f>data!AH74</f>
        <v>0</v>
      </c>
      <c r="G153" s="14">
        <f>data!AI74</f>
        <v>0</v>
      </c>
      <c r="H153" s="14">
        <f>data!AJ74</f>
        <v>20091795.34</v>
      </c>
      <c r="I153" s="14">
        <f>data!AK74</f>
        <v>23793.279999999999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210788.03999999998</v>
      </c>
      <c r="D154" s="14">
        <f>data!AF75</f>
        <v>0</v>
      </c>
      <c r="E154" s="14">
        <f>data!AG75</f>
        <v>23165115.98</v>
      </c>
      <c r="F154" s="14">
        <f>data!AH75</f>
        <v>0</v>
      </c>
      <c r="G154" s="14">
        <f>data!AI75</f>
        <v>0</v>
      </c>
      <c r="H154" s="14">
        <f>data!AJ75</f>
        <v>20091648.34</v>
      </c>
      <c r="I154" s="14">
        <f>data!AK75</f>
        <v>12045.179999999998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550</v>
      </c>
      <c r="D156" s="14">
        <f>data!AF76</f>
        <v>0</v>
      </c>
      <c r="E156" s="14">
        <f>data!AG76</f>
        <v>4626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89969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15.42</v>
      </c>
      <c r="F160" s="26">
        <f>data!AH80</f>
        <v>0</v>
      </c>
      <c r="G160" s="26">
        <f>data!AI80</f>
        <v>0</v>
      </c>
      <c r="H160" s="26">
        <f>data!AJ80</f>
        <v>1.05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ASTRIA TOPPENISH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10624.04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10624.04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30531.63</v>
      </c>
      <c r="D184" s="14">
        <f>data!AM73</f>
        <v>0</v>
      </c>
      <c r="E184" s="14">
        <f>data!AN73</f>
        <v>0</v>
      </c>
      <c r="F184" s="14">
        <f>data!AO73</f>
        <v>881819.74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119011.41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30531.63</v>
      </c>
      <c r="D186" s="14">
        <f>data!AM75</f>
        <v>0</v>
      </c>
      <c r="E186" s="14">
        <f>data!AN75</f>
        <v>0</v>
      </c>
      <c r="F186" s="14">
        <f>data!AO75</f>
        <v>1000831.15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ASTRIA TOPPENISH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29347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0.7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5936.24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696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203790.99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5339.98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16912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2989.16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235664.37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29930.300000000003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85953.55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115883.85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1663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ASTRIA TOPPENISH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70293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7.04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3.56</v>
      </c>
      <c r="H234" s="26">
        <f>data!BE60</f>
        <v>2.1800000000000002</v>
      </c>
      <c r="I234" s="26">
        <f>data!BF60</f>
        <v>7.29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233250.48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134049.06</v>
      </c>
      <c r="H235" s="14">
        <f>data!BE61</f>
        <v>107877.99</v>
      </c>
      <c r="I235" s="14">
        <f>data!BF61</f>
        <v>230725.08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87254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49696</v>
      </c>
      <c r="H236" s="14">
        <f>data!BE62</f>
        <v>48215</v>
      </c>
      <c r="I236" s="14">
        <f>data!BF62</f>
        <v>127545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30384.25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44521.51</v>
      </c>
      <c r="H238" s="14">
        <f>data!BE64</f>
        <v>2674.57</v>
      </c>
      <c r="I238" s="14">
        <f>data!BF64</f>
        <v>87664.77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398119.88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180239.56</v>
      </c>
      <c r="D240" s="14">
        <f>data!BA66</f>
        <v>46.34</v>
      </c>
      <c r="E240" s="14">
        <f>data!BB66</f>
        <v>0</v>
      </c>
      <c r="F240" s="14">
        <f>data!BC66</f>
        <v>0</v>
      </c>
      <c r="G240" s="14">
        <f>data!BD66</f>
        <v>7363.96</v>
      </c>
      <c r="H240" s="14">
        <f>data!BE66</f>
        <v>225569.62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21641</v>
      </c>
      <c r="H241" s="14">
        <f>data!BE67</f>
        <v>31597</v>
      </c>
      <c r="I241" s="14">
        <f>data!BF67</f>
        <v>8115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22634.51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1698.4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-56345.94</v>
      </c>
      <c r="H243" s="14">
        <f>data!BE69</f>
        <v>30938.3</v>
      </c>
      <c r="I243" s="14">
        <f>data!BF69</f>
        <v>1103.69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532826.69000000006</v>
      </c>
      <c r="D245" s="14">
        <f>data!BA71</f>
        <v>46.34</v>
      </c>
      <c r="E245" s="14">
        <f>data!BB71</f>
        <v>0</v>
      </c>
      <c r="F245" s="14">
        <f>data!BC71</f>
        <v>0</v>
      </c>
      <c r="G245" s="14">
        <f>data!BD71</f>
        <v>200925.59</v>
      </c>
      <c r="H245" s="14">
        <f>data!BE71</f>
        <v>867626.87</v>
      </c>
      <c r="I245" s="14">
        <f>data!BF71</f>
        <v>455153.54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2128</v>
      </c>
      <c r="H252" s="85">
        <f>data!BE76</f>
        <v>3107</v>
      </c>
      <c r="I252" s="85">
        <f>data!BF76</f>
        <v>798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ASTRIA TOPPENISH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0.23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11.15</v>
      </c>
      <c r="I266" s="26">
        <f>data!BM60</f>
        <v>1.05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15901.75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398521.96</v>
      </c>
      <c r="I267" s="14">
        <f>data!BM61</f>
        <v>52985.16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1646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147693</v>
      </c>
      <c r="I268" s="14">
        <f>data!BM62</f>
        <v>45552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5324.6</v>
      </c>
      <c r="E270" s="14">
        <f>data!BI64</f>
        <v>0</v>
      </c>
      <c r="F270" s="14">
        <f>data!BJ64</f>
        <v>0</v>
      </c>
      <c r="G270" s="14">
        <f>data!BK64</f>
        <v>82.21</v>
      </c>
      <c r="H270" s="14">
        <f>data!BL64</f>
        <v>9285.4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9585.41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8928.93</v>
      </c>
      <c r="D272" s="14">
        <f>data!BH66</f>
        <v>1362.49</v>
      </c>
      <c r="E272" s="14">
        <f>data!BI66</f>
        <v>0</v>
      </c>
      <c r="F272" s="14">
        <f>data!BJ66</f>
        <v>0</v>
      </c>
      <c r="G272" s="14">
        <f>data!BK66</f>
        <v>15225.86</v>
      </c>
      <c r="H272" s="14">
        <f>data!BL66</f>
        <v>0</v>
      </c>
      <c r="I272" s="14">
        <f>data!BM66</f>
        <v>11912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2847</v>
      </c>
      <c r="E273" s="14">
        <f>data!BI67</f>
        <v>0</v>
      </c>
      <c r="F273" s="14">
        <f>data!BJ67</f>
        <v>0</v>
      </c>
      <c r="G273" s="14">
        <f>data!BK67</f>
        <v>25424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597.70000000000005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8928.93</v>
      </c>
      <c r="D277" s="14">
        <f>data!BH71</f>
        <v>37264.949999999997</v>
      </c>
      <c r="E277" s="14">
        <f>data!BI71</f>
        <v>0</v>
      </c>
      <c r="F277" s="14">
        <f>data!BJ71</f>
        <v>0</v>
      </c>
      <c r="G277" s="14">
        <f>data!BK71</f>
        <v>40732.07</v>
      </c>
      <c r="H277" s="14">
        <f>data!BL71</f>
        <v>555500.36</v>
      </c>
      <c r="I277" s="14">
        <f>data!BM71</f>
        <v>110449.16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280</v>
      </c>
      <c r="E284" s="85">
        <f>data!BI76</f>
        <v>0</v>
      </c>
      <c r="F284" s="85">
        <f>data!BJ76</f>
        <v>0</v>
      </c>
      <c r="G284" s="85">
        <f>data!BK76</f>
        <v>2500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ASTRIA TOPPENISH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1.1599999999999999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0.73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59044.67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23224.28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-2352926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6419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3500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-66612.14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3351.88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-24753.3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4327588.66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-1699.18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22302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4149</v>
      </c>
      <c r="H305" s="14">
        <f>data!BS67</f>
        <v>3051</v>
      </c>
      <c r="I305" s="14">
        <f>data!BT67</f>
        <v>3864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14570.53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848981.70000000007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2831696.12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35444.979999999996</v>
      </c>
      <c r="H309" s="14">
        <f>data!BS71</f>
        <v>3051</v>
      </c>
      <c r="I309" s="14">
        <f>data!BT71</f>
        <v>3864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2193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408</v>
      </c>
      <c r="H316" s="85">
        <f>data!BS76</f>
        <v>300</v>
      </c>
      <c r="I316" s="85">
        <f>data!BT76</f>
        <v>380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ASTRIA TOPPENISH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4.9800000000000004</v>
      </c>
      <c r="E330" s="26">
        <f>data!BW60</f>
        <v>0</v>
      </c>
      <c r="F330" s="26">
        <f>data!BX60</f>
        <v>2.2599999999999998</v>
      </c>
      <c r="G330" s="26">
        <f>data!BY60</f>
        <v>3.24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253532.68</v>
      </c>
      <c r="E331" s="86">
        <f>data!BW61</f>
        <v>0</v>
      </c>
      <c r="F331" s="86">
        <f>data!BX61</f>
        <v>186542.03000000003</v>
      </c>
      <c r="G331" s="86">
        <f>data!BY61</f>
        <v>287289.52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87900</v>
      </c>
      <c r="E332" s="86">
        <f>data!BW62</f>
        <v>0</v>
      </c>
      <c r="F332" s="86">
        <f>data!BX62</f>
        <v>43294</v>
      </c>
      <c r="G332" s="86">
        <f>data!BY62</f>
        <v>79814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2071.34</v>
      </c>
      <c r="E334" s="86">
        <f>data!BW64</f>
        <v>0</v>
      </c>
      <c r="F334" s="86">
        <f>data!BX64</f>
        <v>67860</v>
      </c>
      <c r="G334" s="86">
        <f>data!BY64</f>
        <v>483.56</v>
      </c>
      <c r="H334" s="86">
        <f>data!BZ64</f>
        <v>0</v>
      </c>
      <c r="I334" s="86">
        <f>data!CA64</f>
        <v>461.61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1467.42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6725.47</v>
      </c>
      <c r="E336" s="86">
        <f>data!BW66</f>
        <v>0</v>
      </c>
      <c r="F336" s="86">
        <f>data!BX66</f>
        <v>20025.07</v>
      </c>
      <c r="G336" s="86">
        <f>data!BY66</f>
        <v>31349.440000000002</v>
      </c>
      <c r="H336" s="86">
        <f>data!BZ66</f>
        <v>0</v>
      </c>
      <c r="I336" s="86">
        <f>data!CA66</f>
        <v>-6090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13831</v>
      </c>
      <c r="E337" s="86">
        <f>data!BW67</f>
        <v>0</v>
      </c>
      <c r="F337" s="86">
        <f>data!BX67</f>
        <v>3295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8433.9500000000007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72253.61</v>
      </c>
      <c r="E339" s="86">
        <f>data!BW69</f>
        <v>0</v>
      </c>
      <c r="F339" s="86">
        <f>data!BX69</f>
        <v>460.24</v>
      </c>
      <c r="G339" s="86">
        <f>data!BY69</f>
        <v>3312.93</v>
      </c>
      <c r="H339" s="86">
        <f>data!BZ69</f>
        <v>0</v>
      </c>
      <c r="I339" s="86">
        <f>data!CA69</f>
        <v>59986.95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444748.05</v>
      </c>
      <c r="E341" s="14">
        <f>data!BW71</f>
        <v>0</v>
      </c>
      <c r="F341" s="14">
        <f>data!BX71</f>
        <v>321476.34000000003</v>
      </c>
      <c r="G341" s="14">
        <f>data!BY71</f>
        <v>403716.87</v>
      </c>
      <c r="H341" s="14">
        <f>data!BZ71</f>
        <v>0</v>
      </c>
      <c r="I341" s="14">
        <f>data!CA71</f>
        <v>54358.559999999998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1360</v>
      </c>
      <c r="E348" s="85">
        <f>data!BW76</f>
        <v>0</v>
      </c>
      <c r="F348" s="85">
        <f>data!BX76</f>
        <v>324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ASTRIA TOPPENISH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234.8899999999999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15560911.349999998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2491885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2945719.9699999997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93433.74</v>
      </c>
      <c r="E366" s="218"/>
      <c r="F366" s="219"/>
      <c r="G366" s="219"/>
      <c r="H366" s="219"/>
      <c r="I366" s="86">
        <f>data!CE64</f>
        <v>2782612.4999999995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440091.76999999996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26882.16</v>
      </c>
      <c r="E368" s="218"/>
      <c r="F368" s="219"/>
      <c r="G368" s="219"/>
      <c r="H368" s="219"/>
      <c r="I368" s="86">
        <f>data!CE66</f>
        <v>8223836.4000000004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88048</v>
      </c>
      <c r="E369" s="218"/>
      <c r="F369" s="219"/>
      <c r="G369" s="219"/>
      <c r="H369" s="219"/>
      <c r="I369" s="86">
        <f>data!CE67</f>
        <v>714847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390653.52000000008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248375.14</v>
      </c>
      <c r="E371" s="86">
        <f>data!CD69</f>
        <v>0</v>
      </c>
      <c r="F371" s="219"/>
      <c r="G371" s="219"/>
      <c r="H371" s="219"/>
      <c r="I371" s="86">
        <f>data!CE69</f>
        <v>1620385.6400000001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456739.04000000004</v>
      </c>
      <c r="E373" s="86">
        <f>data!CD71</f>
        <v>0</v>
      </c>
      <c r="F373" s="219"/>
      <c r="G373" s="219"/>
      <c r="H373" s="219"/>
      <c r="I373" s="14">
        <f>data!CE71</f>
        <v>35170943.149999991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45555251.439999998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96608043.859999999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142163295.29999998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8658</v>
      </c>
      <c r="E380" s="214"/>
      <c r="F380" s="211"/>
      <c r="G380" s="211"/>
      <c r="H380" s="211"/>
      <c r="I380" s="14">
        <f>data!CE76</f>
        <v>70293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29347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230690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69.739999999999995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2021-07-15T20:40:33Z</cp:lastPrinted>
  <dcterms:created xsi:type="dcterms:W3CDTF">1999-06-02T22:01:56Z</dcterms:created>
  <dcterms:modified xsi:type="dcterms:W3CDTF">2021-08-11T20:09:57Z</dcterms:modified>
</cp:coreProperties>
</file>