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RAO\Department of Health Reports\DOH FY20\St Francis\"/>
    </mc:Choice>
  </mc:AlternateContent>
  <xr:revisionPtr revIDLastSave="0" documentId="13_ncr:1_{9C214454-206F-4A91-892D-AB9F3201C15E}" xr6:coauthVersionLast="45" xr6:coauthVersionMax="45" xr10:uidLastSave="{00000000-0000-0000-0000-000000000000}"/>
  <bookViews>
    <workbookView xWindow="-120" yWindow="-120" windowWidth="29040" windowHeight="1584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60" i="1" l="1"/>
  <c r="E59" i="1" l="1"/>
  <c r="D139" i="1" l="1"/>
  <c r="D138" i="1"/>
  <c r="D202" i="1" l="1"/>
  <c r="C202" i="1"/>
  <c r="C198" i="1"/>
  <c r="C197" i="1"/>
  <c r="C282" i="1" l="1"/>
  <c r="C281" i="1"/>
  <c r="C171" i="1" l="1"/>
  <c r="D213" i="1" l="1"/>
  <c r="C213" i="1"/>
  <c r="C276" i="1"/>
  <c r="D200" i="1" l="1"/>
  <c r="C200" i="1"/>
  <c r="C231" i="1" l="1"/>
  <c r="AJ59" i="1" l="1"/>
  <c r="AJ70" i="1" l="1"/>
  <c r="D215" i="1"/>
  <c r="D211" i="1"/>
  <c r="D210" i="1"/>
  <c r="C211" i="1"/>
  <c r="C215" i="1"/>
  <c r="C210" i="1"/>
  <c r="D203" i="1"/>
  <c r="C203" i="1"/>
  <c r="B213" i="1"/>
  <c r="B211" i="1"/>
  <c r="B215" i="1"/>
  <c r="B210" i="1"/>
  <c r="B209" i="1"/>
  <c r="B203" i="1"/>
  <c r="B200" i="1"/>
  <c r="B198" i="1"/>
  <c r="B202" i="1"/>
  <c r="B197" i="1"/>
  <c r="B196" i="1"/>
  <c r="B195" i="1"/>
  <c r="C323" i="1" l="1"/>
  <c r="C313" i="1"/>
  <c r="C274" i="1"/>
  <c r="C269" i="1"/>
  <c r="AV69" i="1" l="1"/>
  <c r="CD69" i="1"/>
  <c r="B51" i="1" l="1"/>
  <c r="C389" i="1"/>
  <c r="C387" i="1"/>
  <c r="C381" i="1" l="1"/>
  <c r="CC61" i="1" l="1"/>
  <c r="BF61" i="1"/>
  <c r="AV61" i="1"/>
  <c r="AJ61" i="1"/>
  <c r="AG61" i="1"/>
  <c r="CC66" i="1"/>
  <c r="CC68" i="1"/>
  <c r="CC64" i="1"/>
  <c r="W61" i="1"/>
  <c r="V61" i="1"/>
  <c r="U61" i="1"/>
  <c r="Q61" i="1"/>
  <c r="P61" i="1"/>
  <c r="O61" i="1"/>
  <c r="E61" i="1"/>
  <c r="C61" i="1"/>
  <c r="AV74" i="1"/>
  <c r="C77" i="1" l="1"/>
  <c r="C180" i="1" l="1"/>
  <c r="C179" i="1"/>
  <c r="C176" i="1"/>
  <c r="C175" i="1"/>
  <c r="C378" i="1" l="1"/>
  <c r="C370" i="1"/>
  <c r="C360" i="1"/>
  <c r="C234" i="1" l="1"/>
  <c r="C139" i="1" l="1"/>
  <c r="B139" i="1"/>
  <c r="C138" i="1"/>
  <c r="B138" i="1"/>
  <c r="BR76" i="1" l="1"/>
  <c r="O76" i="1"/>
  <c r="O817" i="10" l="1"/>
  <c r="K817" i="10"/>
  <c r="J817" i="10"/>
  <c r="I817" i="10"/>
  <c r="H817" i="10"/>
  <c r="G817" i="10"/>
  <c r="F817" i="10"/>
  <c r="E817" i="10"/>
  <c r="X813" i="10"/>
  <c r="X815" i="10" s="1"/>
  <c r="W813" i="10"/>
  <c r="W815" i="10" s="1"/>
  <c r="A813" i="10"/>
  <c r="T812" i="10"/>
  <c r="S812" i="10"/>
  <c r="R812" i="10"/>
  <c r="Q812" i="10"/>
  <c r="P812" i="10"/>
  <c r="C812" i="10"/>
  <c r="A812" i="10"/>
  <c r="T811" i="10"/>
  <c r="S811" i="10"/>
  <c r="R811" i="10"/>
  <c r="Q811" i="10"/>
  <c r="P811" i="10"/>
  <c r="C811" i="10"/>
  <c r="A811" i="10"/>
  <c r="T810" i="10"/>
  <c r="S810" i="10"/>
  <c r="R810" i="10"/>
  <c r="Q810" i="10"/>
  <c r="P810" i="10"/>
  <c r="C810" i="10"/>
  <c r="A810" i="10"/>
  <c r="T809" i="10"/>
  <c r="S809" i="10"/>
  <c r="R809" i="10"/>
  <c r="Q809" i="10"/>
  <c r="P809" i="10"/>
  <c r="C809" i="10"/>
  <c r="A809" i="10"/>
  <c r="T808" i="10"/>
  <c r="S808" i="10"/>
  <c r="R808" i="10"/>
  <c r="Q808" i="10"/>
  <c r="P808" i="10"/>
  <c r="C808" i="10"/>
  <c r="A808" i="10"/>
  <c r="T807" i="10"/>
  <c r="S807" i="10"/>
  <c r="R807" i="10"/>
  <c r="Q807" i="10"/>
  <c r="P807" i="10"/>
  <c r="C807" i="10"/>
  <c r="A807" i="10"/>
  <c r="T806" i="10"/>
  <c r="S806" i="10"/>
  <c r="R806" i="10"/>
  <c r="Q806" i="10"/>
  <c r="P806" i="10"/>
  <c r="C806" i="10"/>
  <c r="A806" i="10"/>
  <c r="T805" i="10"/>
  <c r="S805" i="10"/>
  <c r="R805" i="10"/>
  <c r="Q805" i="10"/>
  <c r="P805" i="10"/>
  <c r="C805" i="10"/>
  <c r="A805" i="10"/>
  <c r="T804" i="10"/>
  <c r="S804" i="10"/>
  <c r="R804" i="10"/>
  <c r="Q804" i="10"/>
  <c r="P804" i="10"/>
  <c r="C804" i="10"/>
  <c r="A804" i="10"/>
  <c r="T803" i="10"/>
  <c r="S803" i="10"/>
  <c r="R803" i="10"/>
  <c r="Q803" i="10"/>
  <c r="P803" i="10"/>
  <c r="C803" i="10"/>
  <c r="A803" i="10"/>
  <c r="T802" i="10"/>
  <c r="S802" i="10"/>
  <c r="R802" i="10"/>
  <c r="Q802" i="10"/>
  <c r="P802" i="10"/>
  <c r="C802" i="10"/>
  <c r="A802" i="10"/>
  <c r="T801" i="10"/>
  <c r="S801" i="10"/>
  <c r="R801" i="10"/>
  <c r="Q801" i="10"/>
  <c r="C801" i="10"/>
  <c r="A801" i="10"/>
  <c r="T800" i="10"/>
  <c r="S800" i="10"/>
  <c r="R800" i="10"/>
  <c r="Q800" i="10"/>
  <c r="P800" i="10"/>
  <c r="C800" i="10"/>
  <c r="A800" i="10"/>
  <c r="T799" i="10"/>
  <c r="S799" i="10"/>
  <c r="R799" i="10"/>
  <c r="Q799" i="10"/>
  <c r="P799" i="10"/>
  <c r="C799" i="10"/>
  <c r="A799" i="10"/>
  <c r="T798" i="10"/>
  <c r="S798" i="10"/>
  <c r="R798" i="10"/>
  <c r="Q798" i="10"/>
  <c r="P798" i="10"/>
  <c r="C798" i="10"/>
  <c r="A798" i="10"/>
  <c r="T797" i="10"/>
  <c r="S797" i="10"/>
  <c r="R797" i="10"/>
  <c r="Q797" i="10"/>
  <c r="P797" i="10"/>
  <c r="C797" i="10"/>
  <c r="A797" i="10"/>
  <c r="T796" i="10"/>
  <c r="S796" i="10"/>
  <c r="R796" i="10"/>
  <c r="Q796" i="10"/>
  <c r="P796" i="10"/>
  <c r="C796" i="10"/>
  <c r="A796" i="10"/>
  <c r="T795" i="10"/>
  <c r="S795" i="10"/>
  <c r="R795" i="10"/>
  <c r="Q795" i="10"/>
  <c r="P795" i="10"/>
  <c r="C795" i="10"/>
  <c r="A795" i="10"/>
  <c r="T794" i="10"/>
  <c r="S794" i="10"/>
  <c r="R794" i="10"/>
  <c r="Q794" i="10"/>
  <c r="P794" i="10"/>
  <c r="C794" i="10"/>
  <c r="A794" i="10"/>
  <c r="T793" i="10"/>
  <c r="S793" i="10"/>
  <c r="R793" i="10"/>
  <c r="Q793" i="10"/>
  <c r="P793" i="10"/>
  <c r="C793" i="10"/>
  <c r="A793" i="10"/>
  <c r="T792" i="10"/>
  <c r="S792" i="10"/>
  <c r="R792" i="10"/>
  <c r="Q792" i="10"/>
  <c r="P792" i="10"/>
  <c r="C792" i="10"/>
  <c r="A792" i="10"/>
  <c r="T791" i="10"/>
  <c r="S791" i="10"/>
  <c r="R791" i="10"/>
  <c r="Q791" i="10"/>
  <c r="P791" i="10"/>
  <c r="C791" i="10"/>
  <c r="A791" i="10"/>
  <c r="T790" i="10"/>
  <c r="S790" i="10"/>
  <c r="R790" i="10"/>
  <c r="Q790" i="10"/>
  <c r="P790" i="10"/>
  <c r="C790" i="10"/>
  <c r="A790" i="10"/>
  <c r="T789" i="10"/>
  <c r="S789" i="10"/>
  <c r="R789" i="10"/>
  <c r="Q789" i="10"/>
  <c r="P789" i="10"/>
  <c r="C789" i="10"/>
  <c r="A789" i="10"/>
  <c r="T788" i="10"/>
  <c r="S788" i="10"/>
  <c r="R788" i="10"/>
  <c r="Q788" i="10"/>
  <c r="P788" i="10"/>
  <c r="C788" i="10"/>
  <c r="B788" i="10"/>
  <c r="A788" i="10"/>
  <c r="T787" i="10"/>
  <c r="S787" i="10"/>
  <c r="R787" i="10"/>
  <c r="Q787" i="10"/>
  <c r="P787" i="10"/>
  <c r="C787" i="10"/>
  <c r="A787" i="10"/>
  <c r="T786" i="10"/>
  <c r="S786" i="10"/>
  <c r="R786" i="10"/>
  <c r="Q786" i="10"/>
  <c r="P786" i="10"/>
  <c r="C786" i="10"/>
  <c r="A786" i="10"/>
  <c r="T785" i="10"/>
  <c r="S785" i="10"/>
  <c r="R785" i="10"/>
  <c r="Q785" i="10"/>
  <c r="P785" i="10"/>
  <c r="C785" i="10"/>
  <c r="A785" i="10"/>
  <c r="T784" i="10"/>
  <c r="S784" i="10"/>
  <c r="R784" i="10"/>
  <c r="Q784" i="10"/>
  <c r="P784" i="10"/>
  <c r="C784" i="10"/>
  <c r="B784" i="10"/>
  <c r="A784" i="10"/>
  <c r="T783" i="10"/>
  <c r="S783" i="10"/>
  <c r="R783" i="10"/>
  <c r="Q783" i="10"/>
  <c r="P783" i="10"/>
  <c r="C783" i="10"/>
  <c r="B783" i="10"/>
  <c r="A783" i="10"/>
  <c r="T782" i="10"/>
  <c r="S782" i="10"/>
  <c r="R782" i="10"/>
  <c r="Q782" i="10"/>
  <c r="P782" i="10"/>
  <c r="C782" i="10"/>
  <c r="B782" i="10"/>
  <c r="A782" i="10"/>
  <c r="T781" i="10"/>
  <c r="S781" i="10"/>
  <c r="R781" i="10"/>
  <c r="Q781" i="10"/>
  <c r="P781" i="10"/>
  <c r="C781" i="10"/>
  <c r="A781" i="10"/>
  <c r="T780" i="10"/>
  <c r="S780" i="10"/>
  <c r="R780" i="10"/>
  <c r="Q780" i="10"/>
  <c r="P780" i="10"/>
  <c r="C780" i="10"/>
  <c r="A780" i="10"/>
  <c r="T779" i="10"/>
  <c r="S779" i="10"/>
  <c r="R779" i="10"/>
  <c r="Q779" i="10"/>
  <c r="P779" i="10"/>
  <c r="C779" i="10"/>
  <c r="A779" i="10"/>
  <c r="T778" i="10"/>
  <c r="S778" i="10"/>
  <c r="R778" i="10"/>
  <c r="Q778" i="10"/>
  <c r="P778" i="10"/>
  <c r="C778" i="10"/>
  <c r="B778" i="10"/>
  <c r="A778" i="10"/>
  <c r="T777" i="10"/>
  <c r="S777" i="10"/>
  <c r="R777" i="10"/>
  <c r="Q777" i="10"/>
  <c r="P777" i="10"/>
  <c r="C777" i="10"/>
  <c r="B777" i="10"/>
  <c r="A777" i="10"/>
  <c r="T776" i="10"/>
  <c r="S776" i="10"/>
  <c r="R776" i="10"/>
  <c r="Q776" i="10"/>
  <c r="P776" i="10"/>
  <c r="C776" i="10"/>
  <c r="B776" i="10"/>
  <c r="A776" i="10"/>
  <c r="T775" i="10"/>
  <c r="S775" i="10"/>
  <c r="R775" i="10"/>
  <c r="Q775" i="10"/>
  <c r="P775" i="10"/>
  <c r="C775" i="10"/>
  <c r="B775" i="10"/>
  <c r="A775" i="10"/>
  <c r="T774" i="10"/>
  <c r="S774" i="10"/>
  <c r="R774" i="10"/>
  <c r="Q774" i="10"/>
  <c r="P774" i="10"/>
  <c r="C774" i="10"/>
  <c r="B774" i="10"/>
  <c r="A774" i="10"/>
  <c r="T773" i="10"/>
  <c r="S773" i="10"/>
  <c r="R773" i="10"/>
  <c r="Q773" i="10"/>
  <c r="P773" i="10"/>
  <c r="C773" i="10"/>
  <c r="B773" i="10"/>
  <c r="A773" i="10"/>
  <c r="T772" i="10"/>
  <c r="S772" i="10"/>
  <c r="R772" i="10"/>
  <c r="Q772" i="10"/>
  <c r="P772" i="10"/>
  <c r="C772" i="10"/>
  <c r="B772" i="10"/>
  <c r="A772" i="10"/>
  <c r="T771" i="10"/>
  <c r="S771" i="10"/>
  <c r="R771" i="10"/>
  <c r="Q771" i="10"/>
  <c r="P771" i="10"/>
  <c r="C771" i="10"/>
  <c r="B771" i="10"/>
  <c r="A771" i="10"/>
  <c r="T770" i="10"/>
  <c r="S770" i="10"/>
  <c r="R770" i="10"/>
  <c r="Q770" i="10"/>
  <c r="P770" i="10"/>
  <c r="C770" i="10"/>
  <c r="B770" i="10"/>
  <c r="A770" i="10"/>
  <c r="T769" i="10"/>
  <c r="S769" i="10"/>
  <c r="R769" i="10"/>
  <c r="Q769" i="10"/>
  <c r="P769" i="10"/>
  <c r="C769" i="10"/>
  <c r="B769" i="10"/>
  <c r="A769" i="10"/>
  <c r="T768" i="10"/>
  <c r="S768" i="10"/>
  <c r="R768" i="10"/>
  <c r="Q768" i="10"/>
  <c r="P768" i="10"/>
  <c r="C768" i="10"/>
  <c r="B768" i="10"/>
  <c r="A768" i="10"/>
  <c r="S767" i="10"/>
  <c r="R767" i="10"/>
  <c r="Q767" i="10"/>
  <c r="P767" i="10"/>
  <c r="A767" i="10"/>
  <c r="T766" i="10"/>
  <c r="S766" i="10"/>
  <c r="R766" i="10"/>
  <c r="Q766" i="10"/>
  <c r="P766" i="10"/>
  <c r="C766" i="10"/>
  <c r="B766" i="10"/>
  <c r="A766" i="10"/>
  <c r="T765" i="10"/>
  <c r="S765" i="10"/>
  <c r="R765" i="10"/>
  <c r="Q765" i="10"/>
  <c r="P765" i="10"/>
  <c r="C765" i="10"/>
  <c r="B765" i="10"/>
  <c r="A765" i="10"/>
  <c r="T764" i="10"/>
  <c r="S764" i="10"/>
  <c r="R764" i="10"/>
  <c r="Q764" i="10"/>
  <c r="P764" i="10"/>
  <c r="C764" i="10"/>
  <c r="B764" i="10"/>
  <c r="A764" i="10"/>
  <c r="T763" i="10"/>
  <c r="S763" i="10"/>
  <c r="R763" i="10"/>
  <c r="Q763" i="10"/>
  <c r="P763" i="10"/>
  <c r="C763" i="10"/>
  <c r="B763" i="10"/>
  <c r="A763" i="10"/>
  <c r="T762" i="10"/>
  <c r="S762" i="10"/>
  <c r="R762" i="10"/>
  <c r="Q762" i="10"/>
  <c r="P762" i="10"/>
  <c r="C762" i="10"/>
  <c r="B762" i="10"/>
  <c r="A762" i="10"/>
  <c r="T761" i="10"/>
  <c r="S761" i="10"/>
  <c r="R761" i="10"/>
  <c r="Q761" i="10"/>
  <c r="P761" i="10"/>
  <c r="C761" i="10"/>
  <c r="B761" i="10"/>
  <c r="A761" i="10"/>
  <c r="T760" i="10"/>
  <c r="S760" i="10"/>
  <c r="R760" i="10"/>
  <c r="Q760" i="10"/>
  <c r="P760" i="10"/>
  <c r="C760" i="10"/>
  <c r="B760" i="10"/>
  <c r="A760" i="10"/>
  <c r="T759" i="10"/>
  <c r="S759" i="10"/>
  <c r="R759" i="10"/>
  <c r="Q759" i="10"/>
  <c r="P759" i="10"/>
  <c r="C759" i="10"/>
  <c r="A759" i="10"/>
  <c r="T758" i="10"/>
  <c r="S758" i="10"/>
  <c r="R758" i="10"/>
  <c r="Q758" i="10"/>
  <c r="P758" i="10"/>
  <c r="C758" i="10"/>
  <c r="B758" i="10"/>
  <c r="A758" i="10"/>
  <c r="T757" i="10"/>
  <c r="S757" i="10"/>
  <c r="R757" i="10"/>
  <c r="Q757" i="10"/>
  <c r="P757" i="10"/>
  <c r="C757" i="10"/>
  <c r="B757" i="10"/>
  <c r="A757" i="10"/>
  <c r="T756" i="10"/>
  <c r="S756" i="10"/>
  <c r="R756" i="10"/>
  <c r="Q756" i="10"/>
  <c r="P756" i="10"/>
  <c r="C756" i="10"/>
  <c r="B756" i="10"/>
  <c r="A756" i="10"/>
  <c r="T755" i="10"/>
  <c r="S755" i="10"/>
  <c r="R755" i="10"/>
  <c r="Q755" i="10"/>
  <c r="P755" i="10"/>
  <c r="C755" i="10"/>
  <c r="B755" i="10"/>
  <c r="A755" i="10"/>
  <c r="T754" i="10"/>
  <c r="S754" i="10"/>
  <c r="R754" i="10"/>
  <c r="Q754" i="10"/>
  <c r="P754" i="10"/>
  <c r="H754" i="10"/>
  <c r="C754" i="10"/>
  <c r="B754" i="10"/>
  <c r="A754" i="10"/>
  <c r="T753" i="10"/>
  <c r="S753" i="10"/>
  <c r="R753" i="10"/>
  <c r="Q753" i="10"/>
  <c r="P753" i="10"/>
  <c r="C753" i="10"/>
  <c r="B753" i="10"/>
  <c r="A753" i="10"/>
  <c r="T752" i="10"/>
  <c r="S752" i="10"/>
  <c r="R752" i="10"/>
  <c r="Q752" i="10"/>
  <c r="P752" i="10"/>
  <c r="C752" i="10"/>
  <c r="B752" i="10"/>
  <c r="A752" i="10"/>
  <c r="T751" i="10"/>
  <c r="S751" i="10"/>
  <c r="R751" i="10"/>
  <c r="Q751" i="10"/>
  <c r="P751" i="10"/>
  <c r="C751" i="10"/>
  <c r="A751" i="10"/>
  <c r="T750" i="10"/>
  <c r="S750" i="10"/>
  <c r="R750" i="10"/>
  <c r="Q750" i="10"/>
  <c r="P750" i="10"/>
  <c r="C750" i="10"/>
  <c r="A750" i="10"/>
  <c r="T749" i="10"/>
  <c r="S749" i="10"/>
  <c r="R749" i="10"/>
  <c r="Q749" i="10"/>
  <c r="P749" i="10"/>
  <c r="C749" i="10"/>
  <c r="B749" i="10"/>
  <c r="A749" i="10"/>
  <c r="T748" i="10"/>
  <c r="S748" i="10"/>
  <c r="R748" i="10"/>
  <c r="Q748" i="10"/>
  <c r="P748" i="10"/>
  <c r="C748" i="10"/>
  <c r="B748" i="10"/>
  <c r="A748" i="10"/>
  <c r="T747" i="10"/>
  <c r="S747" i="10"/>
  <c r="R747" i="10"/>
  <c r="Q747" i="10"/>
  <c r="P747" i="10"/>
  <c r="C747" i="10"/>
  <c r="B747" i="10"/>
  <c r="A747" i="10"/>
  <c r="T746" i="10"/>
  <c r="S746" i="10"/>
  <c r="R746" i="10"/>
  <c r="Q746" i="10"/>
  <c r="C746" i="10"/>
  <c r="B746" i="10"/>
  <c r="A746" i="10"/>
  <c r="T745" i="10"/>
  <c r="S745" i="10"/>
  <c r="R745" i="10"/>
  <c r="Q745" i="10"/>
  <c r="P745" i="10"/>
  <c r="C745" i="10"/>
  <c r="B745" i="10"/>
  <c r="A745" i="10"/>
  <c r="T744" i="10"/>
  <c r="S744" i="10"/>
  <c r="R744" i="10"/>
  <c r="Q744" i="10"/>
  <c r="P744" i="10"/>
  <c r="C744" i="10"/>
  <c r="B744" i="10"/>
  <c r="A744" i="10"/>
  <c r="T743" i="10"/>
  <c r="S743" i="10"/>
  <c r="R743" i="10"/>
  <c r="Q743" i="10"/>
  <c r="P743" i="10"/>
  <c r="C743" i="10"/>
  <c r="B743" i="10"/>
  <c r="A743" i="10"/>
  <c r="T742" i="10"/>
  <c r="S742" i="10"/>
  <c r="R742" i="10"/>
  <c r="Q742" i="10"/>
  <c r="P742" i="10"/>
  <c r="C742" i="10"/>
  <c r="B742" i="10"/>
  <c r="A742" i="10"/>
  <c r="T741" i="10"/>
  <c r="S741" i="10"/>
  <c r="R741" i="10"/>
  <c r="Q741" i="10"/>
  <c r="P741" i="10"/>
  <c r="C741" i="10"/>
  <c r="B741" i="10"/>
  <c r="A741" i="10"/>
  <c r="T740" i="10"/>
  <c r="S740" i="10"/>
  <c r="R740" i="10"/>
  <c r="Q740" i="10"/>
  <c r="P740" i="10"/>
  <c r="G740" i="10"/>
  <c r="C740" i="10"/>
  <c r="B740" i="10"/>
  <c r="A740" i="10"/>
  <c r="T739" i="10"/>
  <c r="S739" i="10"/>
  <c r="R739" i="10"/>
  <c r="Q739" i="10"/>
  <c r="P739" i="10"/>
  <c r="L739" i="10"/>
  <c r="C739" i="10"/>
  <c r="B739" i="10"/>
  <c r="A739" i="10"/>
  <c r="T738" i="10"/>
  <c r="S738" i="10"/>
  <c r="R738" i="10"/>
  <c r="Q738" i="10"/>
  <c r="P738" i="10"/>
  <c r="C738" i="10"/>
  <c r="B738" i="10"/>
  <c r="A738" i="10"/>
  <c r="T737" i="10"/>
  <c r="S737" i="10"/>
  <c r="R737" i="10"/>
  <c r="Q737" i="10"/>
  <c r="P737" i="10"/>
  <c r="C737" i="10"/>
  <c r="B737" i="10"/>
  <c r="A737" i="10"/>
  <c r="T736" i="10"/>
  <c r="S736" i="10"/>
  <c r="R736" i="10"/>
  <c r="Q736" i="10"/>
  <c r="P736" i="10"/>
  <c r="C736" i="10"/>
  <c r="A736" i="10"/>
  <c r="T735" i="10"/>
  <c r="S735" i="10"/>
  <c r="R735" i="10"/>
  <c r="Q735" i="10"/>
  <c r="P735" i="10"/>
  <c r="C735" i="10"/>
  <c r="B735" i="10"/>
  <c r="A735" i="10"/>
  <c r="T734" i="10"/>
  <c r="S734" i="10"/>
  <c r="R734" i="10"/>
  <c r="Q734" i="10"/>
  <c r="P734" i="10"/>
  <c r="C734" i="10"/>
  <c r="B734" i="10"/>
  <c r="A734" i="10"/>
  <c r="CF730" i="10"/>
  <c r="CE730" i="10"/>
  <c r="CD730" i="10"/>
  <c r="CB730" i="10"/>
  <c r="CA730" i="10"/>
  <c r="BY730" i="10"/>
  <c r="BX730" i="10"/>
  <c r="BW730" i="10"/>
  <c r="BV730" i="10"/>
  <c r="BU730" i="10"/>
  <c r="BT730" i="10"/>
  <c r="BS730" i="10"/>
  <c r="BR730" i="10"/>
  <c r="BP730" i="10"/>
  <c r="BM730" i="10"/>
  <c r="BJ730" i="10"/>
  <c r="BF730" i="10"/>
  <c r="BE730" i="10"/>
  <c r="BA730" i="10"/>
  <c r="AZ730" i="10"/>
  <c r="AY730" i="10"/>
  <c r="AX730" i="10"/>
  <c r="AU730" i="10"/>
  <c r="AT730" i="10"/>
  <c r="AR730" i="10"/>
  <c r="AQ730" i="10"/>
  <c r="AO730" i="10"/>
  <c r="AN730" i="10"/>
  <c r="AM730" i="10"/>
  <c r="AL730" i="10"/>
  <c r="AK730" i="10"/>
  <c r="AG730" i="10"/>
  <c r="AE730" i="10"/>
  <c r="AD730" i="10"/>
  <c r="AA730" i="10"/>
  <c r="Z730" i="10"/>
  <c r="Y730" i="10"/>
  <c r="W730" i="10"/>
  <c r="R730" i="10"/>
  <c r="P730" i="10"/>
  <c r="O730" i="10"/>
  <c r="N730" i="10"/>
  <c r="M730" i="10"/>
  <c r="L730" i="10"/>
  <c r="K730" i="10"/>
  <c r="H730" i="10"/>
  <c r="F730" i="10"/>
  <c r="C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F726" i="10"/>
  <c r="AE726" i="10"/>
  <c r="AA726" i="10"/>
  <c r="Z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A722" i="10"/>
  <c r="BZ722" i="10"/>
  <c r="BY722" i="10"/>
  <c r="BV722" i="10"/>
  <c r="BS722" i="10"/>
  <c r="BR722" i="10"/>
  <c r="BQ722" i="10"/>
  <c r="BP722" i="10"/>
  <c r="BM722" i="10"/>
  <c r="BL722" i="10"/>
  <c r="BK722" i="10"/>
  <c r="BG722" i="10"/>
  <c r="BD722" i="10"/>
  <c r="BC722" i="10"/>
  <c r="BB722" i="10"/>
  <c r="BA722" i="10"/>
  <c r="AX722" i="10"/>
  <c r="AW722" i="10"/>
  <c r="AV722" i="10"/>
  <c r="AR722" i="10"/>
  <c r="AL722" i="10"/>
  <c r="AK722" i="10"/>
  <c r="AJ722" i="10"/>
  <c r="AF722" i="10"/>
  <c r="AC722" i="10"/>
  <c r="AA722" i="10"/>
  <c r="Z722" i="10"/>
  <c r="W722" i="10"/>
  <c r="V722" i="10"/>
  <c r="U722" i="10"/>
  <c r="T722" i="10"/>
  <c r="S722" i="10"/>
  <c r="R722" i="10"/>
  <c r="Q722" i="10"/>
  <c r="P722" i="10"/>
  <c r="O722" i="10"/>
  <c r="M722" i="10"/>
  <c r="B722" i="10"/>
  <c r="A722" i="10"/>
  <c r="E550" i="10"/>
  <c r="F550" i="10"/>
  <c r="E546" i="10"/>
  <c r="E545" i="10"/>
  <c r="F545" i="10"/>
  <c r="H544" i="10"/>
  <c r="F544" i="10"/>
  <c r="E544" i="10"/>
  <c r="F540" i="10"/>
  <c r="E540" i="10"/>
  <c r="H540" i="10"/>
  <c r="H539" i="10"/>
  <c r="E539" i="10"/>
  <c r="F539" i="10"/>
  <c r="E538" i="10"/>
  <c r="H537" i="10"/>
  <c r="F537" i="10"/>
  <c r="E537" i="10"/>
  <c r="H536" i="10"/>
  <c r="E536" i="10"/>
  <c r="F536" i="10"/>
  <c r="H535" i="10"/>
  <c r="F535" i="10"/>
  <c r="E535" i="10"/>
  <c r="H534" i="10"/>
  <c r="F534" i="10"/>
  <c r="E534" i="10"/>
  <c r="F533" i="10"/>
  <c r="E533" i="10"/>
  <c r="H533" i="10"/>
  <c r="F532" i="10"/>
  <c r="E532" i="10"/>
  <c r="H532" i="10"/>
  <c r="E531" i="10"/>
  <c r="E530" i="10"/>
  <c r="H528" i="10"/>
  <c r="E528" i="10"/>
  <c r="F528" i="10"/>
  <c r="H527" i="10"/>
  <c r="F527" i="10"/>
  <c r="E527" i="10"/>
  <c r="F526" i="10"/>
  <c r="E526" i="10"/>
  <c r="E525" i="10"/>
  <c r="F524" i="10"/>
  <c r="E524" i="10"/>
  <c r="E523" i="10"/>
  <c r="E522" i="10"/>
  <c r="F521" i="10"/>
  <c r="F520" i="10"/>
  <c r="E520" i="10"/>
  <c r="F519" i="10"/>
  <c r="E519" i="10"/>
  <c r="H519" i="10"/>
  <c r="F518" i="10"/>
  <c r="E518" i="10"/>
  <c r="E517" i="10"/>
  <c r="E516" i="10"/>
  <c r="F515" i="10"/>
  <c r="E515" i="10"/>
  <c r="H515" i="10"/>
  <c r="E514" i="10"/>
  <c r="F513" i="10"/>
  <c r="H511" i="10"/>
  <c r="F511" i="10"/>
  <c r="E511" i="10"/>
  <c r="E510" i="10"/>
  <c r="F510" i="10"/>
  <c r="E509" i="10"/>
  <c r="F509" i="10"/>
  <c r="F508" i="10"/>
  <c r="E508" i="10"/>
  <c r="F507" i="10"/>
  <c r="E507" i="10"/>
  <c r="H507" i="10"/>
  <c r="F506" i="10"/>
  <c r="E506" i="10"/>
  <c r="H506" i="10"/>
  <c r="H505" i="10"/>
  <c r="E505" i="10"/>
  <c r="F505" i="10"/>
  <c r="E504" i="10"/>
  <c r="E503" i="10"/>
  <c r="H503" i="10"/>
  <c r="H502" i="10"/>
  <c r="E502" i="10"/>
  <c r="F502" i="10"/>
  <c r="H501" i="10"/>
  <c r="F501" i="10"/>
  <c r="E501" i="10"/>
  <c r="H500" i="10"/>
  <c r="F500" i="10"/>
  <c r="E500" i="10"/>
  <c r="E499" i="10"/>
  <c r="F498" i="10"/>
  <c r="H497" i="10"/>
  <c r="F497" i="10"/>
  <c r="E497" i="10"/>
  <c r="F496" i="10"/>
  <c r="E496" i="10"/>
  <c r="G493" i="10"/>
  <c r="E493" i="10"/>
  <c r="C493" i="10"/>
  <c r="A493" i="10"/>
  <c r="B471" i="10"/>
  <c r="B469" i="10"/>
  <c r="B468" i="10"/>
  <c r="B463" i="10"/>
  <c r="C459" i="10"/>
  <c r="B459" i="10"/>
  <c r="B454" i="10"/>
  <c r="B453" i="10"/>
  <c r="C446" i="10"/>
  <c r="C444" i="10"/>
  <c r="C438" i="10"/>
  <c r="B437" i="10"/>
  <c r="B435" i="10"/>
  <c r="B434" i="10"/>
  <c r="B433" i="10"/>
  <c r="B432" i="10"/>
  <c r="B431" i="10"/>
  <c r="B430" i="10"/>
  <c r="B429" i="10"/>
  <c r="B428" i="10"/>
  <c r="D424" i="10"/>
  <c r="B424" i="10"/>
  <c r="B423" i="10"/>
  <c r="D421" i="10"/>
  <c r="B421" i="10"/>
  <c r="B420" i="10"/>
  <c r="D418" i="10"/>
  <c r="B418" i="10"/>
  <c r="B417" i="10"/>
  <c r="B415" i="10"/>
  <c r="B414" i="10"/>
  <c r="A412" i="10"/>
  <c r="C389" i="10"/>
  <c r="CC730" i="10" s="1"/>
  <c r="C387" i="10"/>
  <c r="B436" i="10" s="1"/>
  <c r="C378" i="10"/>
  <c r="C370" i="10"/>
  <c r="M817" i="10" s="1"/>
  <c r="C360" i="10"/>
  <c r="BK730" i="10" s="1"/>
  <c r="C332" i="10"/>
  <c r="BB730" i="10" s="1"/>
  <c r="C324" i="10"/>
  <c r="AW730" i="10" s="1"/>
  <c r="C323" i="10"/>
  <c r="AV730" i="10" s="1"/>
  <c r="C318" i="10"/>
  <c r="AS730" i="10" s="1"/>
  <c r="C313" i="10"/>
  <c r="C307" i="10"/>
  <c r="AJ730" i="10" s="1"/>
  <c r="C306" i="10"/>
  <c r="AI730" i="10" s="1"/>
  <c r="C305" i="10"/>
  <c r="AH730" i="10" s="1"/>
  <c r="C289" i="10"/>
  <c r="AF730" i="10" s="1"/>
  <c r="C286" i="10"/>
  <c r="C282" i="10"/>
  <c r="AB730" i="10" s="1"/>
  <c r="C276" i="10"/>
  <c r="X730" i="10" s="1"/>
  <c r="C274" i="10"/>
  <c r="V730" i="10" s="1"/>
  <c r="C273" i="10"/>
  <c r="U730" i="10" s="1"/>
  <c r="C272" i="10"/>
  <c r="T730" i="10" s="1"/>
  <c r="C271" i="10"/>
  <c r="C269" i="10"/>
  <c r="Q730" i="10" s="1"/>
  <c r="D265" i="10"/>
  <c r="C258" i="10"/>
  <c r="J730" i="10" s="1"/>
  <c r="C257" i="10"/>
  <c r="I730" i="10" s="1"/>
  <c r="C255" i="10"/>
  <c r="G730" i="10" s="1"/>
  <c r="C253" i="10"/>
  <c r="C252" i="10"/>
  <c r="D730" i="10" s="1"/>
  <c r="C250" i="10"/>
  <c r="B730" i="10" s="1"/>
  <c r="C238" i="10"/>
  <c r="CC722" i="10" s="1"/>
  <c r="C234" i="10"/>
  <c r="CB722" i="10" s="1"/>
  <c r="C227" i="10"/>
  <c r="BX722" i="10" s="1"/>
  <c r="C226" i="10"/>
  <c r="BW722" i="10" s="1"/>
  <c r="C224" i="10"/>
  <c r="BU722" i="10" s="1"/>
  <c r="C223" i="10"/>
  <c r="BT722" i="10" s="1"/>
  <c r="D221" i="10"/>
  <c r="CD722" i="10" s="1"/>
  <c r="E216" i="10"/>
  <c r="C215" i="10"/>
  <c r="BO722" i="10" s="1"/>
  <c r="B215" i="10"/>
  <c r="BN722" i="10" s="1"/>
  <c r="E214" i="10"/>
  <c r="D213" i="10"/>
  <c r="C213" i="10"/>
  <c r="BI722" i="10" s="1"/>
  <c r="B213" i="10"/>
  <c r="BH722" i="10" s="1"/>
  <c r="C212" i="10"/>
  <c r="BF722" i="10" s="1"/>
  <c r="B212" i="10"/>
  <c r="BE722" i="10" s="1"/>
  <c r="E211" i="10"/>
  <c r="C210" i="10"/>
  <c r="AZ722" i="10" s="1"/>
  <c r="B210" i="10"/>
  <c r="B217" i="10" s="1"/>
  <c r="E209" i="10"/>
  <c r="C203" i="10"/>
  <c r="AQ722" i="10" s="1"/>
  <c r="B203" i="10"/>
  <c r="D202" i="10"/>
  <c r="AO722" i="10" s="1"/>
  <c r="C202" i="10"/>
  <c r="AN722" i="10" s="1"/>
  <c r="B202" i="10"/>
  <c r="AM722" i="10" s="1"/>
  <c r="E201" i="10"/>
  <c r="D200" i="10"/>
  <c r="C200" i="10"/>
  <c r="AH722" i="10" s="1"/>
  <c r="B200" i="10"/>
  <c r="AG722" i="10" s="1"/>
  <c r="C199" i="10"/>
  <c r="AE722" i="10" s="1"/>
  <c r="B199" i="10"/>
  <c r="AD722" i="10" s="1"/>
  <c r="C198" i="10"/>
  <c r="E198" i="10" s="1"/>
  <c r="C471" i="10" s="1"/>
  <c r="C197" i="10"/>
  <c r="B197" i="10"/>
  <c r="X722" i="10" s="1"/>
  <c r="E196" i="10"/>
  <c r="C469" i="10" s="1"/>
  <c r="E195" i="10"/>
  <c r="C468" i="10" s="1"/>
  <c r="D190" i="10"/>
  <c r="D437" i="10" s="1"/>
  <c r="C184" i="10"/>
  <c r="N722" i="10" s="1"/>
  <c r="C180" i="10"/>
  <c r="L722" i="10" s="1"/>
  <c r="C179" i="10"/>
  <c r="K722" i="10" s="1"/>
  <c r="C176" i="10"/>
  <c r="J722" i="10" s="1"/>
  <c r="C175" i="10"/>
  <c r="I722" i="10" s="1"/>
  <c r="C172" i="10"/>
  <c r="C171" i="10"/>
  <c r="C170" i="10"/>
  <c r="G722" i="10" s="1"/>
  <c r="C169" i="10"/>
  <c r="F722" i="10" s="1"/>
  <c r="C168" i="10"/>
  <c r="E722" i="10" s="1"/>
  <c r="C167" i="10"/>
  <c r="D722" i="10" s="1"/>
  <c r="C166" i="10"/>
  <c r="C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C142" i="10"/>
  <c r="AG726" i="10" s="1"/>
  <c r="B142" i="10"/>
  <c r="AB726" i="10" s="1"/>
  <c r="D141" i="10"/>
  <c r="AK726" i="10" s="1"/>
  <c r="E140" i="10"/>
  <c r="D139" i="10"/>
  <c r="AI726" i="10" s="1"/>
  <c r="C139" i="10"/>
  <c r="AD726" i="10" s="1"/>
  <c r="B139" i="10"/>
  <c r="Y726" i="10" s="1"/>
  <c r="D138" i="10"/>
  <c r="AH726" i="10" s="1"/>
  <c r="C138" i="10"/>
  <c r="E138" i="10" s="1"/>
  <c r="C414" i="10" s="1"/>
  <c r="B138" i="10"/>
  <c r="X726" i="10" s="1"/>
  <c r="E127" i="10"/>
  <c r="CF80" i="10"/>
  <c r="CE80" i="10"/>
  <c r="T816" i="10" s="1"/>
  <c r="AJ80" i="10"/>
  <c r="T767" i="10" s="1"/>
  <c r="CF79" i="10"/>
  <c r="CE79" i="10"/>
  <c r="S816" i="10" s="1"/>
  <c r="CE78" i="10"/>
  <c r="CE77" i="10"/>
  <c r="Q816" i="10" s="1"/>
  <c r="BR76" i="10"/>
  <c r="P801" i="10" s="1"/>
  <c r="O76" i="10"/>
  <c r="P746" i="10" s="1"/>
  <c r="AV75" i="10"/>
  <c r="N779" i="10" s="1"/>
  <c r="AS75" i="10"/>
  <c r="N776" i="10" s="1"/>
  <c r="AN75" i="10"/>
  <c r="N771" i="10" s="1"/>
  <c r="AK75" i="10"/>
  <c r="N768" i="10" s="1"/>
  <c r="AF75" i="10"/>
  <c r="N763" i="10" s="1"/>
  <c r="AC75" i="10"/>
  <c r="N760" i="10" s="1"/>
  <c r="X75" i="10"/>
  <c r="N755" i="10" s="1"/>
  <c r="U75" i="10"/>
  <c r="N752" i="10" s="1"/>
  <c r="P75" i="10"/>
  <c r="N747" i="10" s="1"/>
  <c r="M75" i="10"/>
  <c r="N744" i="10" s="1"/>
  <c r="H75" i="10"/>
  <c r="N739" i="10" s="1"/>
  <c r="E75" i="10"/>
  <c r="N736" i="10" s="1"/>
  <c r="AR75" i="10"/>
  <c r="N775" i="10" s="1"/>
  <c r="AJ75" i="10"/>
  <c r="N767" i="10" s="1"/>
  <c r="AB75" i="10"/>
  <c r="N759" i="10" s="1"/>
  <c r="T75" i="10"/>
  <c r="N751" i="10" s="1"/>
  <c r="L75" i="10"/>
  <c r="N743" i="10" s="1"/>
  <c r="D75" i="10"/>
  <c r="N735" i="10" s="1"/>
  <c r="CE74" i="10"/>
  <c r="C464" i="10" s="1"/>
  <c r="O779" i="10"/>
  <c r="O778" i="10"/>
  <c r="O777" i="10"/>
  <c r="O776" i="10"/>
  <c r="O775" i="10"/>
  <c r="O772" i="10"/>
  <c r="O771" i="10"/>
  <c r="O770" i="10"/>
  <c r="O769" i="10"/>
  <c r="O768" i="10"/>
  <c r="O767" i="10"/>
  <c r="O764" i="10"/>
  <c r="O763" i="10"/>
  <c r="O762" i="10"/>
  <c r="O761" i="10"/>
  <c r="O760" i="10"/>
  <c r="O759" i="10"/>
  <c r="O756" i="10"/>
  <c r="O755" i="10"/>
  <c r="O754" i="10"/>
  <c r="O753" i="10"/>
  <c r="O752" i="10"/>
  <c r="O751" i="10"/>
  <c r="O748" i="10"/>
  <c r="O747" i="10"/>
  <c r="O746" i="10"/>
  <c r="O745" i="10"/>
  <c r="O744" i="10"/>
  <c r="O743" i="10"/>
  <c r="O740" i="10"/>
  <c r="O739" i="10"/>
  <c r="O738" i="10"/>
  <c r="O737" i="10"/>
  <c r="O736" i="10"/>
  <c r="O735" i="10"/>
  <c r="CD71" i="10"/>
  <c r="C575" i="10" s="1"/>
  <c r="V813" i="10"/>
  <c r="V815" i="10" s="1"/>
  <c r="M812" i="10"/>
  <c r="M811" i="10"/>
  <c r="M810" i="10"/>
  <c r="M809" i="10"/>
  <c r="M807" i="10"/>
  <c r="M806" i="10"/>
  <c r="M805" i="10"/>
  <c r="M804" i="10"/>
  <c r="M803" i="10"/>
  <c r="M802" i="10"/>
  <c r="M801" i="10"/>
  <c r="M799" i="10"/>
  <c r="M798" i="10"/>
  <c r="M797" i="10"/>
  <c r="M796" i="10"/>
  <c r="M795" i="10"/>
  <c r="M794" i="10"/>
  <c r="M793" i="10"/>
  <c r="M791" i="10"/>
  <c r="M790" i="10"/>
  <c r="M789" i="10"/>
  <c r="M788" i="10"/>
  <c r="M787" i="10"/>
  <c r="M786" i="10"/>
  <c r="M785" i="10"/>
  <c r="M783" i="10"/>
  <c r="M782" i="10"/>
  <c r="M781" i="10"/>
  <c r="M780" i="10"/>
  <c r="M779" i="10"/>
  <c r="M778" i="10"/>
  <c r="M777" i="10"/>
  <c r="M775" i="10"/>
  <c r="M774" i="10"/>
  <c r="M773" i="10"/>
  <c r="M772" i="10"/>
  <c r="M771" i="10"/>
  <c r="M770" i="10"/>
  <c r="M769" i="10"/>
  <c r="M767" i="10"/>
  <c r="M766" i="10"/>
  <c r="M765" i="10"/>
  <c r="M764" i="10"/>
  <c r="M763" i="10"/>
  <c r="M762" i="10"/>
  <c r="M761" i="10"/>
  <c r="M759" i="10"/>
  <c r="M758" i="10"/>
  <c r="M757" i="10"/>
  <c r="M756" i="10"/>
  <c r="M755" i="10"/>
  <c r="M754" i="10"/>
  <c r="M753" i="10"/>
  <c r="M751" i="10"/>
  <c r="M750" i="10"/>
  <c r="M749" i="10"/>
  <c r="M748" i="10"/>
  <c r="M747" i="10"/>
  <c r="M746" i="10"/>
  <c r="M745" i="10"/>
  <c r="M743" i="10"/>
  <c r="M742" i="10"/>
  <c r="M741" i="10"/>
  <c r="M740" i="10"/>
  <c r="M739" i="10"/>
  <c r="M738" i="10"/>
  <c r="M737" i="10"/>
  <c r="M735" i="10"/>
  <c r="M734" i="10"/>
  <c r="U813" i="10"/>
  <c r="U815" i="10" s="1"/>
  <c r="L812" i="10"/>
  <c r="L811" i="10"/>
  <c r="L810" i="10"/>
  <c r="L809" i="10"/>
  <c r="L808" i="10"/>
  <c r="L807" i="10"/>
  <c r="L806" i="10"/>
  <c r="L805" i="10"/>
  <c r="L804" i="10"/>
  <c r="L803" i="10"/>
  <c r="L802" i="10"/>
  <c r="L801" i="10"/>
  <c r="L800" i="10"/>
  <c r="L799" i="10"/>
  <c r="L798" i="10"/>
  <c r="L797" i="10"/>
  <c r="L796" i="10"/>
  <c r="L795" i="10"/>
  <c r="L794" i="10"/>
  <c r="L793" i="10"/>
  <c r="L792" i="10"/>
  <c r="L791" i="10"/>
  <c r="L790" i="10"/>
  <c r="L789" i="10"/>
  <c r="L788" i="10"/>
  <c r="L787" i="10"/>
  <c r="L786" i="10"/>
  <c r="L785" i="10"/>
  <c r="L784" i="10"/>
  <c r="L783" i="10"/>
  <c r="L782" i="10"/>
  <c r="L781" i="10"/>
  <c r="L780" i="10"/>
  <c r="L779" i="10"/>
  <c r="L778" i="10"/>
  <c r="L777" i="10"/>
  <c r="L776" i="10"/>
  <c r="L775" i="10"/>
  <c r="L774" i="10"/>
  <c r="L773" i="10"/>
  <c r="L772" i="10"/>
  <c r="L771" i="10"/>
  <c r="L770" i="10"/>
  <c r="L769" i="10"/>
  <c r="L768" i="10"/>
  <c r="L767" i="10"/>
  <c r="L766" i="10"/>
  <c r="L765" i="10"/>
  <c r="L764" i="10"/>
  <c r="L763" i="10"/>
  <c r="L762" i="10"/>
  <c r="L761" i="10"/>
  <c r="L760" i="10"/>
  <c r="L759" i="10"/>
  <c r="L758" i="10"/>
  <c r="L757" i="10"/>
  <c r="L756" i="10"/>
  <c r="L755" i="10"/>
  <c r="L754" i="10"/>
  <c r="L753" i="10"/>
  <c r="L752" i="10"/>
  <c r="L751" i="10"/>
  <c r="L750" i="10"/>
  <c r="L749" i="10"/>
  <c r="L748" i="10"/>
  <c r="L747" i="10"/>
  <c r="L746" i="10"/>
  <c r="L745" i="10"/>
  <c r="L744" i="10"/>
  <c r="L743" i="10"/>
  <c r="L742" i="10"/>
  <c r="L741" i="10"/>
  <c r="L740" i="10"/>
  <c r="L738" i="10"/>
  <c r="L737" i="10"/>
  <c r="L736" i="10"/>
  <c r="L735" i="10"/>
  <c r="L734" i="10"/>
  <c r="K812" i="10"/>
  <c r="K811" i="10"/>
  <c r="K810" i="10"/>
  <c r="K809" i="10"/>
  <c r="K808" i="10"/>
  <c r="K807" i="10"/>
  <c r="K806" i="10"/>
  <c r="K805" i="10"/>
  <c r="K804" i="10"/>
  <c r="K803" i="10"/>
  <c r="K802" i="10"/>
  <c r="K801" i="10"/>
  <c r="K800" i="10"/>
  <c r="K799" i="10"/>
  <c r="K798" i="10"/>
  <c r="K797" i="10"/>
  <c r="K796" i="10"/>
  <c r="K795" i="10"/>
  <c r="K794" i="10"/>
  <c r="K793" i="10"/>
  <c r="K792" i="10"/>
  <c r="K791" i="10"/>
  <c r="K790" i="10"/>
  <c r="K789" i="10"/>
  <c r="K788" i="10"/>
  <c r="K787" i="10"/>
  <c r="K786" i="10"/>
  <c r="K785" i="10"/>
  <c r="K784" i="10"/>
  <c r="K783" i="10"/>
  <c r="K782" i="10"/>
  <c r="K781" i="10"/>
  <c r="K780" i="10"/>
  <c r="K779" i="10"/>
  <c r="K778" i="10"/>
  <c r="K777" i="10"/>
  <c r="K776" i="10"/>
  <c r="K775" i="10"/>
  <c r="K774" i="10"/>
  <c r="K773" i="10"/>
  <c r="K772" i="10"/>
  <c r="K771" i="10"/>
  <c r="K770" i="10"/>
  <c r="K769" i="10"/>
  <c r="K768" i="10"/>
  <c r="K767" i="10"/>
  <c r="K766" i="10"/>
  <c r="K765" i="10"/>
  <c r="K764" i="10"/>
  <c r="K763" i="10"/>
  <c r="K762" i="10"/>
  <c r="K761" i="10"/>
  <c r="K760" i="10"/>
  <c r="K759" i="10"/>
  <c r="K758" i="10"/>
  <c r="K757" i="10"/>
  <c r="K756" i="10"/>
  <c r="K755" i="10"/>
  <c r="K754" i="10"/>
  <c r="K753" i="10"/>
  <c r="K752" i="10"/>
  <c r="K751" i="10"/>
  <c r="K750" i="10"/>
  <c r="K749" i="10"/>
  <c r="K748" i="10"/>
  <c r="K747" i="10"/>
  <c r="K746" i="10"/>
  <c r="K745" i="10"/>
  <c r="K744" i="10"/>
  <c r="K743" i="10"/>
  <c r="K742" i="10"/>
  <c r="K741" i="10"/>
  <c r="K740" i="10"/>
  <c r="K739" i="10"/>
  <c r="K738" i="10"/>
  <c r="K737" i="10"/>
  <c r="K736" i="10"/>
  <c r="K735" i="10"/>
  <c r="K734" i="10"/>
  <c r="CC66" i="10"/>
  <c r="I812" i="10" s="1"/>
  <c r="I811" i="10"/>
  <c r="I810" i="10"/>
  <c r="I809" i="10"/>
  <c r="I808" i="10"/>
  <c r="I807" i="10"/>
  <c r="I806" i="10"/>
  <c r="I805" i="10"/>
  <c r="I804" i="10"/>
  <c r="I803" i="10"/>
  <c r="I802" i="10"/>
  <c r="I801" i="10"/>
  <c r="I800" i="10"/>
  <c r="I799" i="10"/>
  <c r="I798" i="10"/>
  <c r="I797" i="10"/>
  <c r="I796" i="10"/>
  <c r="I795" i="10"/>
  <c r="I794" i="10"/>
  <c r="I793" i="10"/>
  <c r="I792" i="10"/>
  <c r="I791" i="10"/>
  <c r="I790" i="10"/>
  <c r="I789" i="10"/>
  <c r="I788" i="10"/>
  <c r="I787" i="10"/>
  <c r="I786" i="10"/>
  <c r="I785" i="10"/>
  <c r="I784" i="10"/>
  <c r="I783" i="10"/>
  <c r="I782" i="10"/>
  <c r="I781" i="10"/>
  <c r="I780" i="10"/>
  <c r="I779" i="10"/>
  <c r="I778" i="10"/>
  <c r="I777" i="10"/>
  <c r="I776" i="10"/>
  <c r="I775" i="10"/>
  <c r="I774" i="10"/>
  <c r="I773" i="10"/>
  <c r="I772" i="10"/>
  <c r="I771" i="10"/>
  <c r="I770" i="10"/>
  <c r="I769" i="10"/>
  <c r="I768" i="10"/>
  <c r="I767" i="10"/>
  <c r="I766" i="10"/>
  <c r="I765" i="10"/>
  <c r="I764" i="10"/>
  <c r="I763" i="10"/>
  <c r="I762" i="10"/>
  <c r="I761" i="10"/>
  <c r="I760" i="10"/>
  <c r="I759" i="10"/>
  <c r="I758" i="10"/>
  <c r="I757" i="10"/>
  <c r="I756" i="10"/>
  <c r="I755" i="10"/>
  <c r="I754" i="10"/>
  <c r="I753" i="10"/>
  <c r="I752" i="10"/>
  <c r="I751" i="10"/>
  <c r="I750" i="10"/>
  <c r="I749" i="10"/>
  <c r="I748" i="10"/>
  <c r="I747" i="10"/>
  <c r="I746" i="10"/>
  <c r="I745" i="10"/>
  <c r="I744" i="10"/>
  <c r="I743" i="10"/>
  <c r="I742" i="10"/>
  <c r="I741" i="10"/>
  <c r="I740" i="10"/>
  <c r="I739" i="10"/>
  <c r="I738" i="10"/>
  <c r="I737" i="10"/>
  <c r="I736" i="10"/>
  <c r="I735" i="10"/>
  <c r="I734" i="10"/>
  <c r="H812" i="10"/>
  <c r="H811" i="10"/>
  <c r="H810" i="10"/>
  <c r="H809" i="10"/>
  <c r="H808" i="10"/>
  <c r="H807" i="10"/>
  <c r="H806" i="10"/>
  <c r="H805" i="10"/>
  <c r="H804" i="10"/>
  <c r="H803" i="10"/>
  <c r="H802" i="10"/>
  <c r="H801" i="10"/>
  <c r="H800" i="10"/>
  <c r="H799" i="10"/>
  <c r="H798" i="10"/>
  <c r="H797" i="10"/>
  <c r="H796" i="10"/>
  <c r="H795" i="10"/>
  <c r="H794" i="10"/>
  <c r="H793" i="10"/>
  <c r="H792" i="10"/>
  <c r="H791" i="10"/>
  <c r="H790" i="10"/>
  <c r="H789" i="10"/>
  <c r="H788" i="10"/>
  <c r="H787" i="10"/>
  <c r="H786" i="10"/>
  <c r="H785" i="10"/>
  <c r="H784" i="10"/>
  <c r="H783" i="10"/>
  <c r="H782" i="10"/>
  <c r="H781" i="10"/>
  <c r="H780" i="10"/>
  <c r="H779" i="10"/>
  <c r="H778" i="10"/>
  <c r="H777" i="10"/>
  <c r="H776" i="10"/>
  <c r="H775" i="10"/>
  <c r="H774" i="10"/>
  <c r="H773" i="10"/>
  <c r="H772" i="10"/>
  <c r="H771" i="10"/>
  <c r="H770" i="10"/>
  <c r="H769" i="10"/>
  <c r="H768" i="10"/>
  <c r="H767" i="10"/>
  <c r="H766" i="10"/>
  <c r="H765" i="10"/>
  <c r="H764" i="10"/>
  <c r="H763" i="10"/>
  <c r="H762" i="10"/>
  <c r="H761" i="10"/>
  <c r="H760" i="10"/>
  <c r="H759" i="10"/>
  <c r="H758" i="10"/>
  <c r="H757" i="10"/>
  <c r="H756" i="10"/>
  <c r="H755" i="10"/>
  <c r="H753" i="10"/>
  <c r="H752" i="10"/>
  <c r="H751" i="10"/>
  <c r="H750" i="10"/>
  <c r="H749" i="10"/>
  <c r="H748" i="10"/>
  <c r="H747" i="10"/>
  <c r="H746" i="10"/>
  <c r="H745" i="10"/>
  <c r="H744" i="10"/>
  <c r="H743" i="10"/>
  <c r="H742" i="10"/>
  <c r="H741" i="10"/>
  <c r="H740" i="10"/>
  <c r="H739" i="10"/>
  <c r="H738" i="10"/>
  <c r="H737" i="10"/>
  <c r="H736" i="10"/>
  <c r="H735" i="10"/>
  <c r="H734" i="10"/>
  <c r="G812" i="10"/>
  <c r="G811" i="10"/>
  <c r="G810" i="10"/>
  <c r="G809" i="10"/>
  <c r="G808" i="10"/>
  <c r="G807" i="10"/>
  <c r="G806" i="10"/>
  <c r="G805" i="10"/>
  <c r="G804" i="10"/>
  <c r="G803" i="10"/>
  <c r="G802" i="10"/>
  <c r="G801" i="10"/>
  <c r="G800" i="10"/>
  <c r="G799" i="10"/>
  <c r="G798" i="10"/>
  <c r="G797" i="10"/>
  <c r="G796" i="10"/>
  <c r="G795" i="10"/>
  <c r="G794" i="10"/>
  <c r="G793" i="10"/>
  <c r="G792" i="10"/>
  <c r="G791" i="10"/>
  <c r="G790" i="10"/>
  <c r="G789" i="10"/>
  <c r="G788" i="10"/>
  <c r="G787" i="10"/>
  <c r="G786" i="10"/>
  <c r="G785" i="10"/>
  <c r="G784" i="10"/>
  <c r="G783" i="10"/>
  <c r="G782" i="10"/>
  <c r="G781" i="10"/>
  <c r="G780" i="10"/>
  <c r="G779" i="10"/>
  <c r="G778" i="10"/>
  <c r="G777" i="10"/>
  <c r="G776" i="10"/>
  <c r="G775" i="10"/>
  <c r="G774" i="10"/>
  <c r="G773" i="10"/>
  <c r="G772" i="10"/>
  <c r="G771" i="10"/>
  <c r="G770" i="10"/>
  <c r="G769" i="10"/>
  <c r="G768" i="10"/>
  <c r="G767" i="10"/>
  <c r="G766" i="10"/>
  <c r="G765" i="10"/>
  <c r="G764" i="10"/>
  <c r="G763" i="10"/>
  <c r="G762" i="10"/>
  <c r="G761" i="10"/>
  <c r="G760" i="10"/>
  <c r="G759" i="10"/>
  <c r="G758" i="10"/>
  <c r="G757" i="10"/>
  <c r="G756" i="10"/>
  <c r="G755" i="10"/>
  <c r="G754" i="10"/>
  <c r="G753" i="10"/>
  <c r="G752" i="10"/>
  <c r="G751" i="10"/>
  <c r="G750" i="10"/>
  <c r="G749" i="10"/>
  <c r="G748" i="10"/>
  <c r="G747" i="10"/>
  <c r="G746" i="10"/>
  <c r="G745" i="10"/>
  <c r="G744" i="10"/>
  <c r="G743" i="10"/>
  <c r="G742" i="10"/>
  <c r="G741" i="10"/>
  <c r="G739" i="10"/>
  <c r="G738" i="10"/>
  <c r="G737" i="10"/>
  <c r="G736" i="10"/>
  <c r="G735" i="10"/>
  <c r="G734" i="10"/>
  <c r="F812" i="10"/>
  <c r="F811" i="10"/>
  <c r="F810" i="10"/>
  <c r="F809" i="10"/>
  <c r="F808" i="10"/>
  <c r="F807" i="10"/>
  <c r="F806" i="10"/>
  <c r="F805" i="10"/>
  <c r="F804" i="10"/>
  <c r="F803" i="10"/>
  <c r="F802" i="10"/>
  <c r="F801" i="10"/>
  <c r="F800" i="10"/>
  <c r="F799" i="10"/>
  <c r="F798" i="10"/>
  <c r="F797" i="10"/>
  <c r="F796" i="10"/>
  <c r="F795" i="10"/>
  <c r="F794" i="10"/>
  <c r="F793" i="10"/>
  <c r="F792" i="10"/>
  <c r="F791" i="10"/>
  <c r="F790" i="10"/>
  <c r="F789" i="10"/>
  <c r="F788" i="10"/>
  <c r="F787" i="10"/>
  <c r="F786" i="10"/>
  <c r="F785" i="10"/>
  <c r="F784" i="10"/>
  <c r="F783" i="10"/>
  <c r="F782" i="10"/>
  <c r="F781" i="10"/>
  <c r="F780" i="10"/>
  <c r="F779" i="10"/>
  <c r="F778" i="10"/>
  <c r="F777" i="10"/>
  <c r="F776" i="10"/>
  <c r="F775" i="10"/>
  <c r="F774" i="10"/>
  <c r="F773" i="10"/>
  <c r="F772" i="10"/>
  <c r="F771" i="10"/>
  <c r="F770" i="10"/>
  <c r="F769" i="10"/>
  <c r="F768" i="10"/>
  <c r="F767" i="10"/>
  <c r="F766" i="10"/>
  <c r="F765" i="10"/>
  <c r="F764" i="10"/>
  <c r="F763" i="10"/>
  <c r="F762" i="10"/>
  <c r="F761" i="10"/>
  <c r="F760" i="10"/>
  <c r="F759" i="10"/>
  <c r="F758" i="10"/>
  <c r="F757" i="10"/>
  <c r="F756" i="10"/>
  <c r="F755" i="10"/>
  <c r="F754" i="10"/>
  <c r="F753" i="10"/>
  <c r="F752" i="10"/>
  <c r="F751" i="10"/>
  <c r="F750" i="10"/>
  <c r="F749" i="10"/>
  <c r="F748" i="10"/>
  <c r="F747" i="10"/>
  <c r="F746" i="10"/>
  <c r="F745" i="10"/>
  <c r="F744" i="10"/>
  <c r="F743" i="10"/>
  <c r="F742" i="10"/>
  <c r="F741" i="10"/>
  <c r="F740" i="10"/>
  <c r="F739" i="10"/>
  <c r="F738" i="10"/>
  <c r="F737" i="10"/>
  <c r="F736" i="10"/>
  <c r="F735" i="10"/>
  <c r="F734" i="10"/>
  <c r="D812" i="10"/>
  <c r="D811" i="10"/>
  <c r="D810" i="10"/>
  <c r="D808" i="10"/>
  <c r="D807" i="10"/>
  <c r="D806" i="10"/>
  <c r="D805" i="10"/>
  <c r="D804" i="10"/>
  <c r="D803" i="10"/>
  <c r="D802" i="10"/>
  <c r="D800" i="10"/>
  <c r="D799" i="10"/>
  <c r="D798" i="10"/>
  <c r="D797" i="10"/>
  <c r="D796" i="10"/>
  <c r="D795" i="10"/>
  <c r="D794" i="10"/>
  <c r="D792" i="10"/>
  <c r="D791" i="10"/>
  <c r="D790" i="10"/>
  <c r="D789" i="10"/>
  <c r="D788" i="10"/>
  <c r="D787" i="10"/>
  <c r="D786" i="10"/>
  <c r="D785" i="10"/>
  <c r="D784" i="10"/>
  <c r="D783" i="10"/>
  <c r="D782" i="10"/>
  <c r="D781" i="10"/>
  <c r="D780" i="10"/>
  <c r="D779" i="10"/>
  <c r="D778" i="10"/>
  <c r="D777" i="10"/>
  <c r="D776" i="10"/>
  <c r="D775" i="10"/>
  <c r="D774" i="10"/>
  <c r="D773" i="10"/>
  <c r="D772" i="10"/>
  <c r="D771" i="10"/>
  <c r="D770" i="10"/>
  <c r="D769" i="10"/>
  <c r="D768" i="10"/>
  <c r="D767" i="10"/>
  <c r="D766" i="10"/>
  <c r="D765" i="10"/>
  <c r="D764" i="10"/>
  <c r="D763" i="10"/>
  <c r="D762" i="10"/>
  <c r="D761" i="10"/>
  <c r="D760" i="10"/>
  <c r="D759" i="10"/>
  <c r="D758" i="10"/>
  <c r="D757" i="10"/>
  <c r="D756" i="10"/>
  <c r="D755" i="10"/>
  <c r="D754" i="10"/>
  <c r="D753" i="10"/>
  <c r="D752" i="10"/>
  <c r="D751" i="10"/>
  <c r="D750" i="10"/>
  <c r="D749" i="10"/>
  <c r="D748" i="10"/>
  <c r="D747" i="10"/>
  <c r="D746" i="10"/>
  <c r="D745" i="10"/>
  <c r="D744" i="10"/>
  <c r="D743" i="10"/>
  <c r="D742" i="10"/>
  <c r="D741" i="10"/>
  <c r="D740" i="10"/>
  <c r="D739" i="10"/>
  <c r="D738" i="10"/>
  <c r="D737" i="10"/>
  <c r="D736" i="10"/>
  <c r="D735" i="10"/>
  <c r="D734" i="10"/>
  <c r="AJ60" i="10"/>
  <c r="C767" i="10" s="1"/>
  <c r="AJ59" i="10"/>
  <c r="E59" i="10"/>
  <c r="B736" i="10" s="1"/>
  <c r="B51" i="10"/>
  <c r="B53" i="10" s="1"/>
  <c r="B49" i="10"/>
  <c r="D390" i="10" l="1"/>
  <c r="B441" i="10" s="1"/>
  <c r="BO730" i="10"/>
  <c r="H722" i="10"/>
  <c r="B455" i="10"/>
  <c r="B464" i="10"/>
  <c r="B478" i="10"/>
  <c r="D229" i="10"/>
  <c r="B445" i="10" s="1"/>
  <c r="D314" i="10"/>
  <c r="E202" i="10"/>
  <c r="C474" i="10" s="1"/>
  <c r="CE76" i="10"/>
  <c r="P816" i="10" s="1"/>
  <c r="E197" i="10"/>
  <c r="C470" i="10" s="1"/>
  <c r="C217" i="10"/>
  <c r="D433" i="10" s="1"/>
  <c r="C366" i="10"/>
  <c r="BN730" i="10" s="1"/>
  <c r="B427" i="10"/>
  <c r="B438" i="10"/>
  <c r="G612" i="10"/>
  <c r="D283" i="10"/>
  <c r="D181" i="10"/>
  <c r="D415" i="10"/>
  <c r="J612" i="10"/>
  <c r="AB722" i="10"/>
  <c r="E142" i="10"/>
  <c r="D464" i="10" s="1"/>
  <c r="O757" i="10"/>
  <c r="Z75" i="10"/>
  <c r="N757" i="10" s="1"/>
  <c r="CE47" i="10"/>
  <c r="O741" i="10"/>
  <c r="J75" i="10"/>
  <c r="N741" i="10" s="1"/>
  <c r="O773" i="10"/>
  <c r="AP75" i="10"/>
  <c r="N773" i="10" s="1"/>
  <c r="O734" i="10"/>
  <c r="C75" i="10"/>
  <c r="CE73" i="10"/>
  <c r="O742" i="10"/>
  <c r="K75" i="10"/>
  <c r="N742" i="10" s="1"/>
  <c r="O750" i="10"/>
  <c r="S75" i="10"/>
  <c r="N750" i="10" s="1"/>
  <c r="O758" i="10"/>
  <c r="AA75" i="10"/>
  <c r="N758" i="10" s="1"/>
  <c r="O766" i="10"/>
  <c r="AI75" i="10"/>
  <c r="N766" i="10" s="1"/>
  <c r="O774" i="10"/>
  <c r="AQ75" i="10"/>
  <c r="N774" i="10" s="1"/>
  <c r="D612" i="10"/>
  <c r="D204" i="10"/>
  <c r="AI722" i="10"/>
  <c r="E200" i="10"/>
  <c r="C473" i="10" s="1"/>
  <c r="BJ722" i="10"/>
  <c r="D217" i="10"/>
  <c r="E213" i="10"/>
  <c r="B473" i="10"/>
  <c r="AP722" i="10"/>
  <c r="E203" i="10"/>
  <c r="C475" i="10" s="1"/>
  <c r="AC730" i="10"/>
  <c r="D290" i="10"/>
  <c r="O765" i="10"/>
  <c r="AH75" i="10"/>
  <c r="N765" i="10" s="1"/>
  <c r="S730" i="10"/>
  <c r="B472" i="10"/>
  <c r="CF76" i="10"/>
  <c r="BL52" i="10" s="1"/>
  <c r="BL67" i="10" s="1"/>
  <c r="J795" i="10" s="1"/>
  <c r="Y722" i="10"/>
  <c r="C204" i="10"/>
  <c r="AY722" i="10"/>
  <c r="E210" i="10"/>
  <c r="E730" i="10"/>
  <c r="D260" i="10"/>
  <c r="F514" i="10"/>
  <c r="H525" i="10"/>
  <c r="F525" i="10"/>
  <c r="F531" i="10"/>
  <c r="H538" i="10"/>
  <c r="F538" i="10"/>
  <c r="O749" i="10"/>
  <c r="R75" i="10"/>
  <c r="N749" i="10" s="1"/>
  <c r="H499" i="10"/>
  <c r="F499" i="10"/>
  <c r="F512" i="10"/>
  <c r="F522" i="10"/>
  <c r="D793" i="10"/>
  <c r="D801" i="10"/>
  <c r="D809" i="10"/>
  <c r="D435" i="10"/>
  <c r="AP730" i="10"/>
  <c r="D329" i="10"/>
  <c r="F517" i="10"/>
  <c r="CE51" i="10"/>
  <c r="M736" i="10"/>
  <c r="M744" i="10"/>
  <c r="M752" i="10"/>
  <c r="M760" i="10"/>
  <c r="M768" i="10"/>
  <c r="M776" i="10"/>
  <c r="M784" i="10"/>
  <c r="M792" i="10"/>
  <c r="M800" i="10"/>
  <c r="M808" i="10"/>
  <c r="L612" i="10"/>
  <c r="CE70" i="10"/>
  <c r="F75" i="10"/>
  <c r="N737" i="10" s="1"/>
  <c r="N75" i="10"/>
  <c r="N745" i="10" s="1"/>
  <c r="V75" i="10"/>
  <c r="N753" i="10" s="1"/>
  <c r="AD75" i="10"/>
  <c r="N761" i="10" s="1"/>
  <c r="AL75" i="10"/>
  <c r="N769" i="10" s="1"/>
  <c r="AT75" i="10"/>
  <c r="N777" i="10" s="1"/>
  <c r="E139" i="10"/>
  <c r="C415" i="10" s="1"/>
  <c r="B458" i="10"/>
  <c r="F529" i="10"/>
  <c r="B767" i="10"/>
  <c r="E529" i="10"/>
  <c r="G75" i="10"/>
  <c r="N738" i="10" s="1"/>
  <c r="O75" i="10"/>
  <c r="N746" i="10" s="1"/>
  <c r="W75" i="10"/>
  <c r="N754" i="10" s="1"/>
  <c r="AE75" i="10"/>
  <c r="N762" i="10" s="1"/>
  <c r="AM75" i="10"/>
  <c r="N770" i="10" s="1"/>
  <c r="AU75" i="10"/>
  <c r="N778" i="10" s="1"/>
  <c r="CF77" i="10"/>
  <c r="D173" i="10"/>
  <c r="D428" i="10" s="1"/>
  <c r="D186" i="10"/>
  <c r="D436" i="10" s="1"/>
  <c r="B204" i="10"/>
  <c r="D236" i="10"/>
  <c r="B446" i="10" s="1"/>
  <c r="D319" i="10"/>
  <c r="D372" i="10"/>
  <c r="B470" i="10"/>
  <c r="B474" i="10"/>
  <c r="F503" i="10"/>
  <c r="H516" i="10"/>
  <c r="F516" i="10"/>
  <c r="F546" i="10"/>
  <c r="C615" i="10"/>
  <c r="R816" i="10"/>
  <c r="I612" i="10"/>
  <c r="D275" i="10"/>
  <c r="B439" i="10"/>
  <c r="B440" i="10" s="1"/>
  <c r="C447" i="10"/>
  <c r="F530" i="10"/>
  <c r="CE60" i="10"/>
  <c r="CE61" i="10"/>
  <c r="CE63" i="10"/>
  <c r="CE64" i="10"/>
  <c r="CE65" i="10"/>
  <c r="CE66" i="10"/>
  <c r="CE68" i="10"/>
  <c r="I75" i="10"/>
  <c r="N740" i="10" s="1"/>
  <c r="Q75" i="10"/>
  <c r="N748" i="10" s="1"/>
  <c r="Y75" i="10"/>
  <c r="N756" i="10" s="1"/>
  <c r="AG75" i="10"/>
  <c r="N764" i="10" s="1"/>
  <c r="AO75" i="10"/>
  <c r="N772" i="10" s="1"/>
  <c r="E141" i="10"/>
  <c r="D463" i="10" s="1"/>
  <c r="D465" i="10" s="1"/>
  <c r="D240" i="10"/>
  <c r="B447" i="10" s="1"/>
  <c r="D361" i="10"/>
  <c r="D817" i="10"/>
  <c r="BQ730" i="10"/>
  <c r="C439" i="10"/>
  <c r="B444" i="10"/>
  <c r="B475" i="10"/>
  <c r="E498" i="10"/>
  <c r="H504" i="10"/>
  <c r="F504" i="10"/>
  <c r="AC726" i="10"/>
  <c r="F815" i="10"/>
  <c r="G815" i="10"/>
  <c r="H815" i="10"/>
  <c r="I815" i="10"/>
  <c r="K815" i="10"/>
  <c r="L815" i="10"/>
  <c r="CE69" i="10"/>
  <c r="D177" i="10"/>
  <c r="D434" i="10" s="1"/>
  <c r="E199" i="10"/>
  <c r="C472" i="10" s="1"/>
  <c r="E212" i="10"/>
  <c r="E215" i="10"/>
  <c r="D328" i="10"/>
  <c r="L817" i="10"/>
  <c r="BZ730" i="10"/>
  <c r="F523" i="10"/>
  <c r="T815" i="10"/>
  <c r="R815" i="10"/>
  <c r="P815" i="10"/>
  <c r="Q815" i="10"/>
  <c r="C815" i="10"/>
  <c r="S815" i="10"/>
  <c r="D330" i="10" l="1"/>
  <c r="D339" i="10" s="1"/>
  <c r="C482" i="10" s="1"/>
  <c r="E217" i="10"/>
  <c r="C478" i="10" s="1"/>
  <c r="AC52" i="10"/>
  <c r="AC67" i="10" s="1"/>
  <c r="J760" i="10" s="1"/>
  <c r="AF52" i="10"/>
  <c r="AF67" i="10" s="1"/>
  <c r="J763" i="10" s="1"/>
  <c r="AJ52" i="10"/>
  <c r="AJ67" i="10" s="1"/>
  <c r="J767" i="10" s="1"/>
  <c r="F52" i="10"/>
  <c r="F67" i="10" s="1"/>
  <c r="J737" i="10" s="1"/>
  <c r="AN52" i="10"/>
  <c r="AN67" i="10" s="1"/>
  <c r="J771" i="10" s="1"/>
  <c r="C364" i="10"/>
  <c r="D367" i="10" s="1"/>
  <c r="C448" i="10" s="1"/>
  <c r="U52" i="10"/>
  <c r="U67" i="10" s="1"/>
  <c r="J752" i="10" s="1"/>
  <c r="BC52" i="10"/>
  <c r="BC67" i="10" s="1"/>
  <c r="J786" i="10" s="1"/>
  <c r="AB52" i="10"/>
  <c r="AB67" i="10" s="1"/>
  <c r="J759" i="10" s="1"/>
  <c r="N52" i="10"/>
  <c r="N67" i="10" s="1"/>
  <c r="J745" i="10" s="1"/>
  <c r="AD52" i="10"/>
  <c r="AD67" i="10" s="1"/>
  <c r="J761" i="10" s="1"/>
  <c r="M815" i="10"/>
  <c r="D815" i="10"/>
  <c r="AR52" i="10"/>
  <c r="AR67" i="10" s="1"/>
  <c r="J775" i="10" s="1"/>
  <c r="V52" i="10"/>
  <c r="V67" i="10" s="1"/>
  <c r="J753" i="10" s="1"/>
  <c r="AU52" i="10"/>
  <c r="AU67" i="10" s="1"/>
  <c r="J778" i="10" s="1"/>
  <c r="BI730" i="10"/>
  <c r="C816" i="10"/>
  <c r="H612" i="10"/>
  <c r="D242" i="10"/>
  <c r="B448" i="10" s="1"/>
  <c r="D816" i="10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CA48" i="10"/>
  <c r="CA62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C427" i="10"/>
  <c r="BS48" i="10"/>
  <c r="BS62" i="10" s="1"/>
  <c r="BH48" i="10"/>
  <c r="BH62" i="10" s="1"/>
  <c r="AX48" i="10"/>
  <c r="AX62" i="10" s="1"/>
  <c r="AM48" i="10"/>
  <c r="AM62" i="10" s="1"/>
  <c r="AB48" i="10"/>
  <c r="AB62" i="10" s="1"/>
  <c r="R48" i="10"/>
  <c r="R62" i="10" s="1"/>
  <c r="G48" i="10"/>
  <c r="G62" i="10" s="1"/>
  <c r="BA48" i="10"/>
  <c r="BA62" i="10" s="1"/>
  <c r="AC48" i="10"/>
  <c r="AC62" i="10" s="1"/>
  <c r="BQ48" i="10"/>
  <c r="BQ62" i="10" s="1"/>
  <c r="BG48" i="10"/>
  <c r="BG62" i="10" s="1"/>
  <c r="AV48" i="10"/>
  <c r="AV62" i="10" s="1"/>
  <c r="AK48" i="10"/>
  <c r="AK62" i="10" s="1"/>
  <c r="AA48" i="10"/>
  <c r="AA62" i="10" s="1"/>
  <c r="P48" i="10"/>
  <c r="P62" i="10" s="1"/>
  <c r="E48" i="10"/>
  <c r="E62" i="10" s="1"/>
  <c r="BN48" i="10"/>
  <c r="BN62" i="10" s="1"/>
  <c r="AH48" i="10"/>
  <c r="AH62" i="10" s="1"/>
  <c r="BW48" i="10"/>
  <c r="BW62" i="10" s="1"/>
  <c r="U48" i="10"/>
  <c r="U62" i="10" s="1"/>
  <c r="BT48" i="10"/>
  <c r="BT62" i="10" s="1"/>
  <c r="AY48" i="10"/>
  <c r="AY62" i="10" s="1"/>
  <c r="AN48" i="10"/>
  <c r="AN62" i="10" s="1"/>
  <c r="S48" i="10"/>
  <c r="S62" i="10" s="1"/>
  <c r="CB48" i="10"/>
  <c r="CB62" i="10" s="1"/>
  <c r="BP48" i="10"/>
  <c r="BP62" i="10" s="1"/>
  <c r="BF48" i="10"/>
  <c r="BF62" i="10" s="1"/>
  <c r="AU48" i="10"/>
  <c r="AU62" i="10" s="1"/>
  <c r="AJ48" i="10"/>
  <c r="AJ62" i="10" s="1"/>
  <c r="Z48" i="10"/>
  <c r="Z62" i="10" s="1"/>
  <c r="O48" i="10"/>
  <c r="O62" i="10" s="1"/>
  <c r="D48" i="10"/>
  <c r="D62" i="10" s="1"/>
  <c r="BC48" i="10"/>
  <c r="BC62" i="10" s="1"/>
  <c r="L48" i="10"/>
  <c r="L62" i="10" s="1"/>
  <c r="AF48" i="10"/>
  <c r="AF62" i="10" s="1"/>
  <c r="BY48" i="10"/>
  <c r="BY62" i="10" s="1"/>
  <c r="BO48" i="10"/>
  <c r="BO62" i="10" s="1"/>
  <c r="BD48" i="10"/>
  <c r="BD62" i="10" s="1"/>
  <c r="AS48" i="10"/>
  <c r="AS62" i="10" s="1"/>
  <c r="AI48" i="10"/>
  <c r="AI62" i="10" s="1"/>
  <c r="X48" i="10"/>
  <c r="X62" i="10" s="1"/>
  <c r="M48" i="10"/>
  <c r="M62" i="10" s="1"/>
  <c r="C48" i="10"/>
  <c r="AR48" i="10"/>
  <c r="AR62" i="10" s="1"/>
  <c r="AQ48" i="10"/>
  <c r="AQ62" i="10" s="1"/>
  <c r="BI48" i="10"/>
  <c r="BI62" i="10" s="1"/>
  <c r="H48" i="10"/>
  <c r="H62" i="10" s="1"/>
  <c r="BX48" i="10"/>
  <c r="BX62" i="10" s="1"/>
  <c r="W48" i="10"/>
  <c r="W62" i="10" s="1"/>
  <c r="BL48" i="10"/>
  <c r="BL62" i="10" s="1"/>
  <c r="K48" i="10"/>
  <c r="K62" i="10" s="1"/>
  <c r="BV48" i="10"/>
  <c r="BV62" i="10" s="1"/>
  <c r="BK48" i="10"/>
  <c r="BK62" i="10" s="1"/>
  <c r="AZ48" i="10"/>
  <c r="AZ62" i="10" s="1"/>
  <c r="AP48" i="10"/>
  <c r="AP62" i="10" s="1"/>
  <c r="AE48" i="10"/>
  <c r="AE62" i="10" s="1"/>
  <c r="T48" i="10"/>
  <c r="T62" i="10" s="1"/>
  <c r="J48" i="10"/>
  <c r="J62" i="10" s="1"/>
  <c r="M52" i="10"/>
  <c r="M67" i="10" s="1"/>
  <c r="J744" i="10" s="1"/>
  <c r="BY52" i="10"/>
  <c r="BY67" i="10" s="1"/>
  <c r="J808" i="10" s="1"/>
  <c r="AM52" i="10"/>
  <c r="AM67" i="10" s="1"/>
  <c r="J770" i="10" s="1"/>
  <c r="X52" i="10"/>
  <c r="X67" i="10" s="1"/>
  <c r="J755" i="10" s="1"/>
  <c r="N817" i="10"/>
  <c r="B465" i="10"/>
  <c r="K816" i="10"/>
  <c r="C434" i="10"/>
  <c r="AZ52" i="10"/>
  <c r="AZ67" i="10" s="1"/>
  <c r="J783" i="10" s="1"/>
  <c r="AK52" i="10"/>
  <c r="AK67" i="10" s="1"/>
  <c r="J768" i="10" s="1"/>
  <c r="AL52" i="10"/>
  <c r="AL67" i="10" s="1"/>
  <c r="J769" i="10" s="1"/>
  <c r="BB52" i="10"/>
  <c r="BB67" i="10" s="1"/>
  <c r="J785" i="10" s="1"/>
  <c r="BK52" i="10"/>
  <c r="BK67" i="10" s="1"/>
  <c r="J794" i="10" s="1"/>
  <c r="AV52" i="10"/>
  <c r="AV67" i="10" s="1"/>
  <c r="J779" i="10" s="1"/>
  <c r="O816" i="10"/>
  <c r="C463" i="10"/>
  <c r="E204" i="10"/>
  <c r="C476" i="10" s="1"/>
  <c r="I816" i="10"/>
  <c r="C432" i="10"/>
  <c r="BH52" i="10"/>
  <c r="BH67" i="10" s="1"/>
  <c r="J791" i="10" s="1"/>
  <c r="AS52" i="10"/>
  <c r="AS67" i="10" s="1"/>
  <c r="J776" i="10" s="1"/>
  <c r="AT52" i="10"/>
  <c r="AT67" i="10" s="1"/>
  <c r="J777" i="10" s="1"/>
  <c r="G52" i="10"/>
  <c r="G67" i="10" s="1"/>
  <c r="J738" i="10" s="1"/>
  <c r="BS52" i="10"/>
  <c r="BS67" i="10" s="1"/>
  <c r="J802" i="10" s="1"/>
  <c r="BD52" i="10"/>
  <c r="BD67" i="10" s="1"/>
  <c r="J787" i="10" s="1"/>
  <c r="N734" i="10"/>
  <c r="N815" i="10" s="1"/>
  <c r="CE75" i="10"/>
  <c r="H816" i="10"/>
  <c r="C431" i="10"/>
  <c r="E439" i="10"/>
  <c r="D52" i="10"/>
  <c r="D67" i="10" s="1"/>
  <c r="J735" i="10" s="1"/>
  <c r="BP52" i="10"/>
  <c r="BP67" i="10" s="1"/>
  <c r="J799" i="10" s="1"/>
  <c r="BA52" i="10"/>
  <c r="BA67" i="10" s="1"/>
  <c r="J784" i="10" s="1"/>
  <c r="BJ52" i="10"/>
  <c r="BJ67" i="10" s="1"/>
  <c r="J793" i="10" s="1"/>
  <c r="O52" i="10"/>
  <c r="O67" i="10" s="1"/>
  <c r="J746" i="10" s="1"/>
  <c r="CA52" i="10"/>
  <c r="CA67" i="10" s="1"/>
  <c r="J810" i="10" s="1"/>
  <c r="O815" i="10"/>
  <c r="C445" i="10"/>
  <c r="G816" i="10"/>
  <c r="F612" i="10"/>
  <c r="C430" i="10"/>
  <c r="D277" i="10"/>
  <c r="D292" i="10" s="1"/>
  <c r="D341" i="10" s="1"/>
  <c r="C481" i="10" s="1"/>
  <c r="B476" i="10"/>
  <c r="M816" i="10"/>
  <c r="C458" i="10"/>
  <c r="BN52" i="10"/>
  <c r="BN67" i="10" s="1"/>
  <c r="J797" i="10" s="1"/>
  <c r="AQ52" i="10"/>
  <c r="AQ67" i="10" s="1"/>
  <c r="J774" i="10" s="1"/>
  <c r="Y52" i="10"/>
  <c r="Y67" i="10" s="1"/>
  <c r="J756" i="10" s="1"/>
  <c r="BM52" i="10"/>
  <c r="BM67" i="10" s="1"/>
  <c r="J796" i="10" s="1"/>
  <c r="AP52" i="10"/>
  <c r="AP67" i="10" s="1"/>
  <c r="J773" i="10" s="1"/>
  <c r="S52" i="10"/>
  <c r="S67" i="10" s="1"/>
  <c r="J750" i="10" s="1"/>
  <c r="BG52" i="10"/>
  <c r="BG67" i="10" s="1"/>
  <c r="J790" i="10" s="1"/>
  <c r="AO52" i="10"/>
  <c r="AO67" i="10" s="1"/>
  <c r="J772" i="10" s="1"/>
  <c r="R52" i="10"/>
  <c r="R67" i="10" s="1"/>
  <c r="J749" i="10" s="1"/>
  <c r="AY52" i="10"/>
  <c r="AY67" i="10" s="1"/>
  <c r="J782" i="10" s="1"/>
  <c r="I52" i="10"/>
  <c r="I67" i="10" s="1"/>
  <c r="J740" i="10" s="1"/>
  <c r="CC52" i="10"/>
  <c r="CC67" i="10" s="1"/>
  <c r="J812" i="10" s="1"/>
  <c r="BF52" i="10"/>
  <c r="BF67" i="10" s="1"/>
  <c r="J789" i="10" s="1"/>
  <c r="AI52" i="10"/>
  <c r="AI67" i="10" s="1"/>
  <c r="J766" i="10" s="1"/>
  <c r="Q52" i="10"/>
  <c r="Q67" i="10" s="1"/>
  <c r="J748" i="10" s="1"/>
  <c r="AG52" i="10"/>
  <c r="AG67" i="10" s="1"/>
  <c r="J764" i="10" s="1"/>
  <c r="BU52" i="10"/>
  <c r="BU67" i="10" s="1"/>
  <c r="J804" i="10" s="1"/>
  <c r="BW52" i="10"/>
  <c r="BW67" i="10" s="1"/>
  <c r="J806" i="10" s="1"/>
  <c r="BE52" i="10"/>
  <c r="BE67" i="10" s="1"/>
  <c r="J788" i="10" s="1"/>
  <c r="AH52" i="10"/>
  <c r="AH67" i="10" s="1"/>
  <c r="J765" i="10" s="1"/>
  <c r="K52" i="10"/>
  <c r="K67" i="10" s="1"/>
  <c r="J742" i="10" s="1"/>
  <c r="J52" i="10"/>
  <c r="J67" i="10" s="1"/>
  <c r="J741" i="10" s="1"/>
  <c r="AA52" i="10"/>
  <c r="AA67" i="10" s="1"/>
  <c r="J758" i="10" s="1"/>
  <c r="BV52" i="10"/>
  <c r="BV67" i="10" s="1"/>
  <c r="J805" i="10" s="1"/>
  <c r="AX52" i="10"/>
  <c r="AX67" i="10" s="1"/>
  <c r="J781" i="10" s="1"/>
  <c r="BO52" i="10"/>
  <c r="BO67" i="10" s="1"/>
  <c r="J798" i="10" s="1"/>
  <c r="AW52" i="10"/>
  <c r="AW67" i="10" s="1"/>
  <c r="J780" i="10" s="1"/>
  <c r="Z52" i="10"/>
  <c r="Z67" i="10" s="1"/>
  <c r="J757" i="10" s="1"/>
  <c r="C52" i="10"/>
  <c r="L52" i="10"/>
  <c r="L67" i="10" s="1"/>
  <c r="J743" i="10" s="1"/>
  <c r="BX52" i="10"/>
  <c r="BX67" i="10" s="1"/>
  <c r="J807" i="10" s="1"/>
  <c r="BI52" i="10"/>
  <c r="BI67" i="10" s="1"/>
  <c r="J792" i="10" s="1"/>
  <c r="BR52" i="10"/>
  <c r="BR67" i="10" s="1"/>
  <c r="J801" i="10" s="1"/>
  <c r="W52" i="10"/>
  <c r="W67" i="10" s="1"/>
  <c r="J754" i="10" s="1"/>
  <c r="H52" i="10"/>
  <c r="H67" i="10" s="1"/>
  <c r="J739" i="10" s="1"/>
  <c r="BT52" i="10"/>
  <c r="BT67" i="10" s="1"/>
  <c r="J803" i="10" s="1"/>
  <c r="L816" i="10"/>
  <c r="C440" i="10"/>
  <c r="F816" i="10"/>
  <c r="C429" i="10"/>
  <c r="D438" i="10"/>
  <c r="E438" i="10" s="1"/>
  <c r="T52" i="10"/>
  <c r="T67" i="10" s="1"/>
  <c r="J751" i="10" s="1"/>
  <c r="E52" i="10"/>
  <c r="E67" i="10" s="1"/>
  <c r="J736" i="10" s="1"/>
  <c r="BQ52" i="10"/>
  <c r="BQ67" i="10" s="1"/>
  <c r="J800" i="10" s="1"/>
  <c r="BZ52" i="10"/>
  <c r="BZ67" i="10" s="1"/>
  <c r="J809" i="10" s="1"/>
  <c r="AE52" i="10"/>
  <c r="AE67" i="10" s="1"/>
  <c r="J762" i="10" s="1"/>
  <c r="P52" i="10"/>
  <c r="P67" i="10" s="1"/>
  <c r="J747" i="10" s="1"/>
  <c r="CB52" i="10"/>
  <c r="CB67" i="10" s="1"/>
  <c r="J811" i="10" s="1"/>
  <c r="BL730" i="10" l="1"/>
  <c r="E805" i="10"/>
  <c r="BV71" i="10"/>
  <c r="E775" i="10"/>
  <c r="AR71" i="10"/>
  <c r="E808" i="10"/>
  <c r="BY71" i="10"/>
  <c r="E778" i="10"/>
  <c r="AU71" i="10"/>
  <c r="E752" i="10"/>
  <c r="U71" i="10"/>
  <c r="E779" i="10"/>
  <c r="AV71" i="10"/>
  <c r="E770" i="10"/>
  <c r="AM71" i="10"/>
  <c r="E761" i="10"/>
  <c r="AD71" i="10"/>
  <c r="E740" i="10"/>
  <c r="I71" i="10"/>
  <c r="E804" i="10"/>
  <c r="BU71" i="10"/>
  <c r="CE48" i="10"/>
  <c r="C62" i="10"/>
  <c r="E806" i="10"/>
  <c r="BW71" i="10"/>
  <c r="E781" i="10"/>
  <c r="AX71" i="10"/>
  <c r="E812" i="10"/>
  <c r="CC71" i="10"/>
  <c r="D368" i="10"/>
  <c r="D373" i="10" s="1"/>
  <c r="D391" i="10" s="1"/>
  <c r="D393" i="10" s="1"/>
  <c r="D396" i="10" s="1"/>
  <c r="E741" i="10"/>
  <c r="J71" i="10"/>
  <c r="E795" i="10"/>
  <c r="BL71" i="10"/>
  <c r="E744" i="10"/>
  <c r="M71" i="10"/>
  <c r="E743" i="10"/>
  <c r="L71" i="10"/>
  <c r="E799" i="10"/>
  <c r="BP71" i="10"/>
  <c r="E765" i="10"/>
  <c r="AH71" i="10"/>
  <c r="E800" i="10"/>
  <c r="BQ71" i="10"/>
  <c r="E791" i="10"/>
  <c r="BH71" i="10"/>
  <c r="E777" i="10"/>
  <c r="AT71" i="10"/>
  <c r="E756" i="10"/>
  <c r="Y71" i="10"/>
  <c r="E789" i="10"/>
  <c r="BF71" i="10"/>
  <c r="E790" i="10"/>
  <c r="BG71" i="10"/>
  <c r="E748" i="10"/>
  <c r="Q71" i="10"/>
  <c r="CE52" i="10"/>
  <c r="C67" i="10"/>
  <c r="E751" i="10"/>
  <c r="T71" i="10"/>
  <c r="E754" i="10"/>
  <c r="W71" i="10"/>
  <c r="E755" i="10"/>
  <c r="X71" i="10"/>
  <c r="E786" i="10"/>
  <c r="BC71" i="10"/>
  <c r="E811" i="10"/>
  <c r="CB71" i="10"/>
  <c r="E797" i="10"/>
  <c r="BN71" i="10"/>
  <c r="E760" i="10"/>
  <c r="AC71" i="10"/>
  <c r="E802" i="10"/>
  <c r="BS71" i="10"/>
  <c r="E785" i="10"/>
  <c r="BB71" i="10"/>
  <c r="E764" i="10"/>
  <c r="AG71" i="10"/>
  <c r="E763" i="10"/>
  <c r="AF71" i="10"/>
  <c r="E769" i="10"/>
  <c r="AL71" i="10"/>
  <c r="E762" i="10"/>
  <c r="AE71" i="10"/>
  <c r="E807" i="10"/>
  <c r="BX71" i="10"/>
  <c r="E766" i="10"/>
  <c r="AI71" i="10"/>
  <c r="E735" i="10"/>
  <c r="D71" i="10"/>
  <c r="E750" i="10"/>
  <c r="S71" i="10"/>
  <c r="E736" i="10"/>
  <c r="E71" i="10"/>
  <c r="E784" i="10"/>
  <c r="BA71" i="10"/>
  <c r="E793" i="10"/>
  <c r="BJ71" i="10"/>
  <c r="E772" i="10"/>
  <c r="AO71" i="10"/>
  <c r="N816" i="10"/>
  <c r="K612" i="10"/>
  <c r="C465" i="10"/>
  <c r="E773" i="10"/>
  <c r="AP71" i="10"/>
  <c r="E739" i="10"/>
  <c r="H71" i="10"/>
  <c r="E776" i="10"/>
  <c r="AS71" i="10"/>
  <c r="E746" i="10"/>
  <c r="O71" i="10"/>
  <c r="E771" i="10"/>
  <c r="AN71" i="10"/>
  <c r="E747" i="10"/>
  <c r="P71" i="10"/>
  <c r="E738" i="10"/>
  <c r="G71" i="10"/>
  <c r="E737" i="10"/>
  <c r="F71" i="10"/>
  <c r="E801" i="10"/>
  <c r="BR71" i="10"/>
  <c r="E780" i="10"/>
  <c r="AW71" i="10"/>
  <c r="E783" i="10"/>
  <c r="AZ71" i="10"/>
  <c r="E792" i="10"/>
  <c r="BI71" i="10"/>
  <c r="E787" i="10"/>
  <c r="BD71" i="10"/>
  <c r="E757" i="10"/>
  <c r="Z71" i="10"/>
  <c r="E782" i="10"/>
  <c r="AY71" i="10"/>
  <c r="E758" i="10"/>
  <c r="AA71" i="10"/>
  <c r="E749" i="10"/>
  <c r="R71" i="10"/>
  <c r="E745" i="10"/>
  <c r="N71" i="10"/>
  <c r="E809" i="10"/>
  <c r="BZ71" i="10"/>
  <c r="E788" i="10"/>
  <c r="BE71" i="10"/>
  <c r="E742" i="10"/>
  <c r="K71" i="10"/>
  <c r="E794" i="10"/>
  <c r="BK71" i="10"/>
  <c r="E774" i="10"/>
  <c r="AQ71" i="10"/>
  <c r="E798" i="10"/>
  <c r="BO71" i="10"/>
  <c r="E767" i="10"/>
  <c r="AJ71" i="10"/>
  <c r="E803" i="10"/>
  <c r="BT71" i="10"/>
  <c r="E768" i="10"/>
  <c r="AK71" i="10"/>
  <c r="E759" i="10"/>
  <c r="AB71" i="10"/>
  <c r="E753" i="10"/>
  <c r="V71" i="10"/>
  <c r="E810" i="10"/>
  <c r="CA71" i="10"/>
  <c r="E796" i="10"/>
  <c r="BM71" i="10"/>
  <c r="E440" i="10"/>
  <c r="C701" i="10" l="1"/>
  <c r="C529" i="10"/>
  <c r="C707" i="10"/>
  <c r="C535" i="10"/>
  <c r="G535" i="10" s="1"/>
  <c r="C630" i="10"/>
  <c r="C546" i="10"/>
  <c r="C700" i="10"/>
  <c r="C528" i="10"/>
  <c r="G528" i="10" s="1"/>
  <c r="C697" i="10"/>
  <c r="C525" i="10"/>
  <c r="G525" i="10" s="1"/>
  <c r="C694" i="10"/>
  <c r="C522" i="10"/>
  <c r="C689" i="10"/>
  <c r="C517" i="10"/>
  <c r="C682" i="10"/>
  <c r="C510" i="10"/>
  <c r="C711" i="10"/>
  <c r="C539" i="10"/>
  <c r="G539" i="10" s="1"/>
  <c r="C621" i="10"/>
  <c r="C561" i="10"/>
  <c r="C675" i="10"/>
  <c r="C503" i="10"/>
  <c r="G503" i="10" s="1"/>
  <c r="C643" i="10"/>
  <c r="C568" i="10"/>
  <c r="C695" i="10"/>
  <c r="C523" i="10"/>
  <c r="C712" i="10"/>
  <c r="C540" i="10"/>
  <c r="G540" i="10" s="1"/>
  <c r="C676" i="10"/>
  <c r="C504" i="10"/>
  <c r="G504" i="10" s="1"/>
  <c r="C560" i="10"/>
  <c r="C627" i="10"/>
  <c r="C499" i="10"/>
  <c r="G499" i="10" s="1"/>
  <c r="C671" i="10"/>
  <c r="C670" i="10"/>
  <c r="C498" i="10"/>
  <c r="C644" i="10"/>
  <c r="C569" i="10"/>
  <c r="C698" i="10"/>
  <c r="C526" i="10"/>
  <c r="C559" i="10"/>
  <c r="C619" i="10"/>
  <c r="C688" i="10"/>
  <c r="C516" i="10"/>
  <c r="G516" i="10" s="1"/>
  <c r="C618" i="10"/>
  <c r="C552" i="10"/>
  <c r="C636" i="10"/>
  <c r="C553" i="10"/>
  <c r="C677" i="10"/>
  <c r="C505" i="10"/>
  <c r="G505" i="10" s="1"/>
  <c r="E734" i="10"/>
  <c r="E815" i="10" s="1"/>
  <c r="CE62" i="10"/>
  <c r="C71" i="10"/>
  <c r="C704" i="10"/>
  <c r="C532" i="10"/>
  <c r="G532" i="10" s="1"/>
  <c r="C570" i="10"/>
  <c r="C645" i="10"/>
  <c r="C624" i="10"/>
  <c r="C549" i="10"/>
  <c r="C634" i="10"/>
  <c r="C554" i="10"/>
  <c r="C638" i="10"/>
  <c r="C558" i="10"/>
  <c r="C702" i="10"/>
  <c r="C530" i="10"/>
  <c r="C708" i="10"/>
  <c r="C536" i="10"/>
  <c r="G536" i="10" s="1"/>
  <c r="C571" i="10"/>
  <c r="C646" i="10"/>
  <c r="C544" i="10"/>
  <c r="G544" i="10" s="1"/>
  <c r="C625" i="10"/>
  <c r="C545" i="10"/>
  <c r="C628" i="10"/>
  <c r="C672" i="10"/>
  <c r="C500" i="10"/>
  <c r="G500" i="10" s="1"/>
  <c r="C710" i="10"/>
  <c r="C538" i="10"/>
  <c r="G538" i="10" s="1"/>
  <c r="C687" i="10"/>
  <c r="C515" i="10"/>
  <c r="G515" i="10" s="1"/>
  <c r="C705" i="10"/>
  <c r="C533" i="10"/>
  <c r="G533" i="10" s="1"/>
  <c r="C693" i="10"/>
  <c r="C521" i="10"/>
  <c r="C680" i="10"/>
  <c r="C508" i="10"/>
  <c r="C706" i="10"/>
  <c r="C534" i="10"/>
  <c r="G534" i="10" s="1"/>
  <c r="C684" i="10"/>
  <c r="C512" i="10"/>
  <c r="C524" i="10"/>
  <c r="C696" i="10"/>
  <c r="C632" i="10"/>
  <c r="C547" i="10"/>
  <c r="C622" i="10"/>
  <c r="C573" i="10"/>
  <c r="C685" i="10"/>
  <c r="C513" i="10"/>
  <c r="C551" i="10"/>
  <c r="C629" i="10"/>
  <c r="C562" i="10"/>
  <c r="C623" i="10"/>
  <c r="C678" i="10"/>
  <c r="C506" i="10"/>
  <c r="G506" i="10" s="1"/>
  <c r="C574" i="10"/>
  <c r="C620" i="10"/>
  <c r="C641" i="10"/>
  <c r="C566" i="10"/>
  <c r="C541" i="10"/>
  <c r="C713" i="10"/>
  <c r="C537" i="10"/>
  <c r="G537" i="10" s="1"/>
  <c r="C709" i="10"/>
  <c r="C563" i="10"/>
  <c r="C626" i="10"/>
  <c r="C692" i="10"/>
  <c r="C520" i="10"/>
  <c r="C647" i="10"/>
  <c r="C572" i="10"/>
  <c r="C640" i="10"/>
  <c r="C565" i="10"/>
  <c r="C635" i="10"/>
  <c r="C556" i="10"/>
  <c r="C679" i="10"/>
  <c r="C507" i="10"/>
  <c r="G507" i="10" s="1"/>
  <c r="C691" i="10"/>
  <c r="C519" i="10"/>
  <c r="G519" i="10" s="1"/>
  <c r="C631" i="10"/>
  <c r="C542" i="10"/>
  <c r="C681" i="10"/>
  <c r="C509" i="10"/>
  <c r="C673" i="10"/>
  <c r="C501" i="10"/>
  <c r="G501" i="10" s="1"/>
  <c r="C683" i="10"/>
  <c r="C511" i="10"/>
  <c r="G511" i="10" s="1"/>
  <c r="C550" i="10"/>
  <c r="C614" i="10"/>
  <c r="C555" i="10"/>
  <c r="C617" i="10"/>
  <c r="C669" i="10"/>
  <c r="C497" i="10"/>
  <c r="G497" i="10" s="1"/>
  <c r="C703" i="10"/>
  <c r="C531" i="10"/>
  <c r="C639" i="10"/>
  <c r="C564" i="10"/>
  <c r="C633" i="10"/>
  <c r="C548" i="10"/>
  <c r="CE67" i="10"/>
  <c r="J734" i="10"/>
  <c r="J815" i="10" s="1"/>
  <c r="C690" i="10"/>
  <c r="C518" i="10"/>
  <c r="C527" i="10"/>
  <c r="G527" i="10" s="1"/>
  <c r="C699" i="10"/>
  <c r="C637" i="10"/>
  <c r="C557" i="10"/>
  <c r="C616" i="10"/>
  <c r="C543" i="10"/>
  <c r="C674" i="10"/>
  <c r="C502" i="10"/>
  <c r="G502" i="10" s="1"/>
  <c r="C686" i="10"/>
  <c r="C514" i="10"/>
  <c r="C567" i="10"/>
  <c r="C642" i="10"/>
  <c r="G521" i="10" l="1"/>
  <c r="H521" i="10"/>
  <c r="J816" i="10"/>
  <c r="C433" i="10"/>
  <c r="G524" i="10"/>
  <c r="H524" i="10"/>
  <c r="G523" i="10"/>
  <c r="H523" i="10"/>
  <c r="G529" i="10"/>
  <c r="H529" i="10" s="1"/>
  <c r="G509" i="10"/>
  <c r="H509" i="10" s="1"/>
  <c r="G513" i="10"/>
  <c r="H513" i="10"/>
  <c r="G512" i="10"/>
  <c r="H512" i="10"/>
  <c r="G530" i="10"/>
  <c r="H530" i="10"/>
  <c r="G545" i="10"/>
  <c r="H545" i="10" s="1"/>
  <c r="G526" i="10"/>
  <c r="H526" i="10" s="1"/>
  <c r="G510" i="10"/>
  <c r="H510" i="10" s="1"/>
  <c r="C648" i="10"/>
  <c r="M716" i="10" s="1"/>
  <c r="Y816" i="10" s="1"/>
  <c r="D615" i="10"/>
  <c r="G550" i="10"/>
  <c r="H550" i="10" s="1"/>
  <c r="G517" i="10"/>
  <c r="H517" i="10"/>
  <c r="G546" i="10"/>
  <c r="H546" i="10"/>
  <c r="G518" i="10"/>
  <c r="H518" i="10"/>
  <c r="G531" i="10"/>
  <c r="H531" i="10" s="1"/>
  <c r="G508" i="10"/>
  <c r="H508" i="10" s="1"/>
  <c r="C668" i="10"/>
  <c r="C715" i="10" s="1"/>
  <c r="C496" i="10"/>
  <c r="G520" i="10"/>
  <c r="H520" i="10" s="1"/>
  <c r="G514" i="10"/>
  <c r="H514" i="10" s="1"/>
  <c r="E816" i="10"/>
  <c r="C428" i="10"/>
  <c r="CE71" i="10"/>
  <c r="C716" i="10" s="1"/>
  <c r="G498" i="10"/>
  <c r="H498" i="10" s="1"/>
  <c r="G522" i="10"/>
  <c r="H522" i="10" s="1"/>
  <c r="C441" i="10" l="1"/>
  <c r="E441" i="10" s="1"/>
  <c r="G496" i="10"/>
  <c r="H496" i="10" s="1"/>
  <c r="D708" i="10"/>
  <c r="D700" i="10"/>
  <c r="D692" i="10"/>
  <c r="D684" i="10"/>
  <c r="D713" i="10"/>
  <c r="D705" i="10"/>
  <c r="D697" i="10"/>
  <c r="D689" i="10"/>
  <c r="D716" i="10"/>
  <c r="D707" i="10"/>
  <c r="D699" i="10"/>
  <c r="D691" i="10"/>
  <c r="D683" i="10"/>
  <c r="D712" i="10"/>
  <c r="D711" i="10"/>
  <c r="D690" i="10"/>
  <c r="D677" i="10"/>
  <c r="D669" i="10"/>
  <c r="D698" i="10"/>
  <c r="D682" i="10"/>
  <c r="D674" i="10"/>
  <c r="D693" i="10"/>
  <c r="D686" i="10"/>
  <c r="D676" i="10"/>
  <c r="D701" i="10"/>
  <c r="D694" i="10"/>
  <c r="D681" i="10"/>
  <c r="D673" i="10"/>
  <c r="D687" i="10"/>
  <c r="D678" i="10"/>
  <c r="D710" i="10"/>
  <c r="D696" i="10"/>
  <c r="D646" i="10"/>
  <c r="D629" i="10"/>
  <c r="D626" i="10"/>
  <c r="D621" i="10"/>
  <c r="D617" i="10"/>
  <c r="D679" i="10"/>
  <c r="D647" i="10"/>
  <c r="D620" i="10"/>
  <c r="D616" i="10"/>
  <c r="D709" i="10"/>
  <c r="D702" i="10"/>
  <c r="D688" i="10"/>
  <c r="D670" i="10"/>
  <c r="D668" i="10"/>
  <c r="D643" i="10"/>
  <c r="D627" i="10"/>
  <c r="D637" i="10"/>
  <c r="D623" i="10"/>
  <c r="D680" i="10"/>
  <c r="D640" i="10"/>
  <c r="D632" i="10"/>
  <c r="D706" i="10"/>
  <c r="D672" i="10"/>
  <c r="D635" i="10"/>
  <c r="D622" i="10"/>
  <c r="D645" i="10"/>
  <c r="D638" i="10"/>
  <c r="D630" i="10"/>
  <c r="D628" i="10"/>
  <c r="D695" i="10"/>
  <c r="D671" i="10"/>
  <c r="D641" i="10"/>
  <c r="D633" i="10"/>
  <c r="D625" i="10"/>
  <c r="D703" i="10"/>
  <c r="D675" i="10"/>
  <c r="D644" i="10"/>
  <c r="D642" i="10"/>
  <c r="D634" i="10"/>
  <c r="D624" i="10"/>
  <c r="D618" i="10"/>
  <c r="D636" i="10"/>
  <c r="D619" i="10"/>
  <c r="D639" i="10"/>
  <c r="D704" i="10"/>
  <c r="D685" i="10"/>
  <c r="D631" i="10"/>
  <c r="D715" i="10" l="1"/>
  <c r="E623" i="10"/>
  <c r="E612" i="10"/>
  <c r="E713" i="10" l="1"/>
  <c r="E705" i="10"/>
  <c r="E697" i="10"/>
  <c r="E689" i="10"/>
  <c r="E710" i="10"/>
  <c r="E702" i="10"/>
  <c r="E694" i="10"/>
  <c r="E686" i="10"/>
  <c r="E712" i="10"/>
  <c r="E704" i="10"/>
  <c r="E696" i="10"/>
  <c r="E688" i="10"/>
  <c r="E698" i="10"/>
  <c r="E691" i="10"/>
  <c r="E682" i="10"/>
  <c r="E674" i="10"/>
  <c r="E706" i="10"/>
  <c r="E699" i="10"/>
  <c r="E685" i="10"/>
  <c r="E684" i="10"/>
  <c r="E679" i="10"/>
  <c r="E671" i="10"/>
  <c r="E716" i="10"/>
  <c r="E701" i="10"/>
  <c r="E700" i="10"/>
  <c r="E681" i="10"/>
  <c r="E709" i="10"/>
  <c r="E708" i="10"/>
  <c r="E687" i="10"/>
  <c r="E678" i="10"/>
  <c r="E670" i="10"/>
  <c r="E647" i="10"/>
  <c r="E646" i="10"/>
  <c r="E645" i="10"/>
  <c r="E703" i="10"/>
  <c r="E675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707" i="10"/>
  <c r="E693" i="10"/>
  <c r="E676" i="10"/>
  <c r="E669" i="10"/>
  <c r="E668" i="10"/>
  <c r="E643" i="10"/>
  <c r="E627" i="10"/>
  <c r="E695" i="10"/>
  <c r="E680" i="10"/>
  <c r="E711" i="10"/>
  <c r="E683" i="10"/>
  <c r="E677" i="10"/>
  <c r="E672" i="10"/>
  <c r="E626" i="10"/>
  <c r="E692" i="10"/>
  <c r="E628" i="10"/>
  <c r="E625" i="10"/>
  <c r="E629" i="10"/>
  <c r="E690" i="10"/>
  <c r="E673" i="10"/>
  <c r="E644" i="10"/>
  <c r="E715" i="10" l="1"/>
  <c r="F624" i="10"/>
  <c r="F710" i="10" l="1"/>
  <c r="F702" i="10"/>
  <c r="F694" i="10"/>
  <c r="F686" i="10"/>
  <c r="F716" i="10"/>
  <c r="F707" i="10"/>
  <c r="F699" i="10"/>
  <c r="F691" i="10"/>
  <c r="F683" i="10"/>
  <c r="F709" i="10"/>
  <c r="F701" i="10"/>
  <c r="F693" i="10"/>
  <c r="F685" i="10"/>
  <c r="F706" i="10"/>
  <c r="F705" i="10"/>
  <c r="F684" i="10"/>
  <c r="F679" i="10"/>
  <c r="F671" i="10"/>
  <c r="F713" i="10"/>
  <c r="F692" i="10"/>
  <c r="F676" i="10"/>
  <c r="F708" i="10"/>
  <c r="F687" i="10"/>
  <c r="F678" i="10"/>
  <c r="F695" i="10"/>
  <c r="F688" i="10"/>
  <c r="F675" i="10"/>
  <c r="F644" i="10"/>
  <c r="F643" i="10"/>
  <c r="F642" i="10"/>
  <c r="F703" i="10"/>
  <c r="F696" i="10"/>
  <c r="F674" i="10"/>
  <c r="F689" i="10"/>
  <c r="F700" i="10"/>
  <c r="F670" i="10"/>
  <c r="F680" i="10"/>
  <c r="F625" i="10"/>
  <c r="F711" i="10"/>
  <c r="F677" i="10"/>
  <c r="F672" i="10"/>
  <c r="F640" i="10"/>
  <c r="F632" i="10"/>
  <c r="F626" i="10"/>
  <c r="F697" i="10"/>
  <c r="F635" i="10"/>
  <c r="F628" i="10"/>
  <c r="F645" i="10"/>
  <c r="F638" i="10"/>
  <c r="F630" i="10"/>
  <c r="F682" i="10"/>
  <c r="F669" i="10"/>
  <c r="F647" i="10"/>
  <c r="F641" i="10"/>
  <c r="F633" i="10"/>
  <c r="F704" i="10"/>
  <c r="F690" i="10"/>
  <c r="F636" i="10"/>
  <c r="F712" i="10"/>
  <c r="F698" i="10"/>
  <c r="F668" i="10"/>
  <c r="F646" i="10"/>
  <c r="F637" i="10"/>
  <c r="F681" i="10"/>
  <c r="F629" i="10"/>
  <c r="F627" i="10"/>
  <c r="F634" i="10"/>
  <c r="F639" i="10"/>
  <c r="F673" i="10"/>
  <c r="F631" i="10"/>
  <c r="F715" i="10" l="1"/>
  <c r="G625" i="10"/>
  <c r="G716" i="10" l="1"/>
  <c r="G707" i="10"/>
  <c r="G699" i="10"/>
  <c r="G691" i="10"/>
  <c r="G683" i="10"/>
  <c r="G712" i="10"/>
  <c r="G704" i="10"/>
  <c r="G696" i="10"/>
  <c r="G688" i="10"/>
  <c r="G706" i="10"/>
  <c r="G698" i="10"/>
  <c r="G690" i="10"/>
  <c r="G713" i="10"/>
  <c r="G692" i="10"/>
  <c r="G685" i="10"/>
  <c r="G676" i="10"/>
  <c r="G668" i="10"/>
  <c r="G700" i="10"/>
  <c r="G693" i="10"/>
  <c r="G681" i="10"/>
  <c r="G673" i="10"/>
  <c r="G709" i="10"/>
  <c r="G695" i="10"/>
  <c r="G694" i="10"/>
  <c r="G703" i="10"/>
  <c r="G702" i="10"/>
  <c r="G680" i="10"/>
  <c r="G672" i="10"/>
  <c r="G710" i="10"/>
  <c r="G689" i="10"/>
  <c r="G675" i="10"/>
  <c r="G682" i="10"/>
  <c r="G669" i="10"/>
  <c r="G647" i="10"/>
  <c r="G627" i="10"/>
  <c r="G686" i="10"/>
  <c r="G711" i="10"/>
  <c r="G677" i="10"/>
  <c r="G671" i="10"/>
  <c r="G644" i="10"/>
  <c r="G628" i="10"/>
  <c r="G697" i="10"/>
  <c r="G635" i="10"/>
  <c r="G645" i="10"/>
  <c r="G638" i="10"/>
  <c r="G630" i="10"/>
  <c r="G701" i="10"/>
  <c r="G687" i="10"/>
  <c r="G674" i="10"/>
  <c r="G643" i="10"/>
  <c r="G641" i="10"/>
  <c r="G633" i="10"/>
  <c r="G705" i="10"/>
  <c r="G679" i="10"/>
  <c r="G636" i="10"/>
  <c r="G639" i="10"/>
  <c r="G631" i="10"/>
  <c r="G684" i="10"/>
  <c r="G670" i="10"/>
  <c r="G640" i="10"/>
  <c r="G632" i="10"/>
  <c r="G626" i="10"/>
  <c r="G629" i="10"/>
  <c r="G642" i="10"/>
  <c r="G634" i="10"/>
  <c r="G678" i="10"/>
  <c r="G708" i="10"/>
  <c r="G646" i="10"/>
  <c r="G637" i="10"/>
  <c r="G715" i="10" l="1"/>
  <c r="H628" i="10"/>
  <c r="H712" i="10" l="1"/>
  <c r="H704" i="10"/>
  <c r="H696" i="10"/>
  <c r="H688" i="10"/>
  <c r="H709" i="10"/>
  <c r="H701" i="10"/>
  <c r="H693" i="10"/>
  <c r="H685" i="10"/>
  <c r="H711" i="10"/>
  <c r="H703" i="10"/>
  <c r="H695" i="10"/>
  <c r="H687" i="10"/>
  <c r="H700" i="10"/>
  <c r="H699" i="10"/>
  <c r="H681" i="10"/>
  <c r="H673" i="10"/>
  <c r="H708" i="10"/>
  <c r="H707" i="10"/>
  <c r="H686" i="10"/>
  <c r="H678" i="10"/>
  <c r="H670" i="10"/>
  <c r="H702" i="10"/>
  <c r="H680" i="10"/>
  <c r="H710" i="10"/>
  <c r="H689" i="10"/>
  <c r="H677" i="10"/>
  <c r="H669" i="10"/>
  <c r="H682" i="10"/>
  <c r="H647" i="10"/>
  <c r="H705" i="10"/>
  <c r="H698" i="10"/>
  <c r="H684" i="10"/>
  <c r="H679" i="10"/>
  <c r="H668" i="10"/>
  <c r="H643" i="10"/>
  <c r="H671" i="10"/>
  <c r="H644" i="10"/>
  <c r="H697" i="10"/>
  <c r="H690" i="10"/>
  <c r="H672" i="10"/>
  <c r="H645" i="10"/>
  <c r="H683" i="10"/>
  <c r="H638" i="10"/>
  <c r="H630" i="10"/>
  <c r="H706" i="10"/>
  <c r="H692" i="10"/>
  <c r="H674" i="10"/>
  <c r="H641" i="10"/>
  <c r="H633" i="10"/>
  <c r="H716" i="10"/>
  <c r="H636" i="10"/>
  <c r="H691" i="10"/>
  <c r="H676" i="10"/>
  <c r="H639" i="10"/>
  <c r="H631" i="10"/>
  <c r="H634" i="10"/>
  <c r="H629" i="10"/>
  <c r="H635" i="10"/>
  <c r="H642" i="10"/>
  <c r="H713" i="10"/>
  <c r="H637" i="10"/>
  <c r="H694" i="10"/>
  <c r="H640" i="10"/>
  <c r="H646" i="10"/>
  <c r="H675" i="10"/>
  <c r="H632" i="10"/>
  <c r="H715" i="10" l="1"/>
  <c r="I629" i="10"/>
  <c r="I709" i="10" l="1"/>
  <c r="I701" i="10"/>
  <c r="I693" i="10"/>
  <c r="I685" i="10"/>
  <c r="I706" i="10"/>
  <c r="I698" i="10"/>
  <c r="I690" i="10"/>
  <c r="I682" i="10"/>
  <c r="I708" i="10"/>
  <c r="I700" i="10"/>
  <c r="I692" i="10"/>
  <c r="I684" i="10"/>
  <c r="I707" i="10"/>
  <c r="I686" i="10"/>
  <c r="I678" i="10"/>
  <c r="I670" i="10"/>
  <c r="I647" i="10"/>
  <c r="I646" i="10"/>
  <c r="I645" i="10"/>
  <c r="I716" i="10"/>
  <c r="I694" i="10"/>
  <c r="I687" i="10"/>
  <c r="I675" i="10"/>
  <c r="I710" i="10"/>
  <c r="I703" i="10"/>
  <c r="I689" i="10"/>
  <c r="I688" i="10"/>
  <c r="I677" i="10"/>
  <c r="I711" i="10"/>
  <c r="I697" i="10"/>
  <c r="I696" i="10"/>
  <c r="I674" i="10"/>
  <c r="I705" i="10"/>
  <c r="I679" i="10"/>
  <c r="I669" i="10"/>
  <c r="I668" i="10"/>
  <c r="I712" i="10"/>
  <c r="I691" i="10"/>
  <c r="I676" i="10"/>
  <c r="I702" i="10"/>
  <c r="I695" i="10"/>
  <c r="I680" i="10"/>
  <c r="I672" i="10"/>
  <c r="I704" i="10"/>
  <c r="I683" i="10"/>
  <c r="I641" i="10"/>
  <c r="I633" i="10"/>
  <c r="I643" i="10"/>
  <c r="I636" i="10"/>
  <c r="I639" i="10"/>
  <c r="I631" i="10"/>
  <c r="I671" i="10"/>
  <c r="I634" i="10"/>
  <c r="I713" i="10"/>
  <c r="I673" i="10"/>
  <c r="I642" i="10"/>
  <c r="I637" i="10"/>
  <c r="I638" i="10"/>
  <c r="I630" i="10"/>
  <c r="I699" i="10"/>
  <c r="I681" i="10"/>
  <c r="I635" i="10"/>
  <c r="I640" i="10"/>
  <c r="I632" i="10"/>
  <c r="I644" i="10"/>
  <c r="I715" i="10" l="1"/>
  <c r="J630" i="10"/>
  <c r="J706" i="10" l="1"/>
  <c r="J698" i="10"/>
  <c r="J690" i="10"/>
  <c r="J711" i="10"/>
  <c r="J703" i="10"/>
  <c r="J695" i="10"/>
  <c r="J687" i="10"/>
  <c r="J713" i="10"/>
  <c r="J705" i="10"/>
  <c r="J697" i="10"/>
  <c r="J689" i="10"/>
  <c r="J716" i="10"/>
  <c r="J708" i="10"/>
  <c r="J694" i="10"/>
  <c r="J693" i="10"/>
  <c r="J675" i="10"/>
  <c r="J644" i="10"/>
  <c r="J643" i="10"/>
  <c r="J642" i="10"/>
  <c r="J702" i="10"/>
  <c r="J701" i="10"/>
  <c r="J680" i="10"/>
  <c r="J672" i="10"/>
  <c r="J696" i="10"/>
  <c r="J704" i="10"/>
  <c r="J683" i="10"/>
  <c r="J682" i="10"/>
  <c r="J679" i="10"/>
  <c r="J671" i="10"/>
  <c r="J712" i="10"/>
  <c r="J691" i="10"/>
  <c r="J684" i="10"/>
  <c r="J676" i="10"/>
  <c r="J670" i="10"/>
  <c r="J709" i="10"/>
  <c r="J688" i="10"/>
  <c r="J677" i="10"/>
  <c r="J645" i="10"/>
  <c r="J673" i="10"/>
  <c r="J641" i="10"/>
  <c r="J640" i="10"/>
  <c r="J639" i="10"/>
  <c r="J638" i="10"/>
  <c r="J637" i="10"/>
  <c r="J636" i="10"/>
  <c r="J635" i="10"/>
  <c r="J634" i="10"/>
  <c r="J633" i="10"/>
  <c r="J632" i="10"/>
  <c r="J631" i="10"/>
  <c r="J692" i="10"/>
  <c r="J674" i="10"/>
  <c r="J710" i="10"/>
  <c r="J669" i="10"/>
  <c r="J647" i="10"/>
  <c r="J700" i="10"/>
  <c r="J686" i="10"/>
  <c r="J699" i="10"/>
  <c r="J681" i="10"/>
  <c r="J646" i="10"/>
  <c r="J707" i="10"/>
  <c r="J678" i="10"/>
  <c r="J685" i="10"/>
  <c r="J668" i="10"/>
  <c r="L647" i="10" l="1"/>
  <c r="L692" i="10" s="1"/>
  <c r="L708" i="10"/>
  <c r="L700" i="10"/>
  <c r="L684" i="10"/>
  <c r="L713" i="10"/>
  <c r="L705" i="10"/>
  <c r="L697" i="10"/>
  <c r="L689" i="10"/>
  <c r="L716" i="10"/>
  <c r="L707" i="10"/>
  <c r="L699" i="10"/>
  <c r="L691" i="10"/>
  <c r="L683" i="10"/>
  <c r="L709" i="10"/>
  <c r="L702" i="10"/>
  <c r="L688" i="10"/>
  <c r="L687" i="10"/>
  <c r="L677" i="10"/>
  <c r="L669" i="10"/>
  <c r="L710" i="10"/>
  <c r="L696" i="10"/>
  <c r="L695" i="10"/>
  <c r="L674" i="10"/>
  <c r="L712" i="10"/>
  <c r="L711" i="10"/>
  <c r="L690" i="10"/>
  <c r="L676" i="10"/>
  <c r="L698" i="10"/>
  <c r="L681" i="10"/>
  <c r="L673" i="10"/>
  <c r="L671" i="10"/>
  <c r="L693" i="10"/>
  <c r="L686" i="10"/>
  <c r="L704" i="10"/>
  <c r="L706" i="10"/>
  <c r="L685" i="10"/>
  <c r="L678" i="10"/>
  <c r="L701" i="10"/>
  <c r="L682" i="10"/>
  <c r="L679" i="10"/>
  <c r="L675" i="10"/>
  <c r="L680" i="10"/>
  <c r="L672" i="10"/>
  <c r="L670" i="10"/>
  <c r="L694" i="10"/>
  <c r="L668" i="10"/>
  <c r="L703" i="10"/>
  <c r="J715" i="10"/>
  <c r="K644" i="10"/>
  <c r="L715" i="10" l="1"/>
  <c r="M691" i="10"/>
  <c r="Y757" i="10" s="1"/>
  <c r="K711" i="10"/>
  <c r="M711" i="10" s="1"/>
  <c r="Y777" i="10" s="1"/>
  <c r="K703" i="10"/>
  <c r="M703" i="10" s="1"/>
  <c r="Y769" i="10" s="1"/>
  <c r="K695" i="10"/>
  <c r="M695" i="10" s="1"/>
  <c r="Y761" i="10" s="1"/>
  <c r="K687" i="10"/>
  <c r="M687" i="10" s="1"/>
  <c r="Y753" i="10" s="1"/>
  <c r="K708" i="10"/>
  <c r="M708" i="10" s="1"/>
  <c r="Y774" i="10" s="1"/>
  <c r="K700" i="10"/>
  <c r="K692" i="10"/>
  <c r="K684" i="10"/>
  <c r="M684" i="10" s="1"/>
  <c r="Y750" i="10" s="1"/>
  <c r="K710" i="10"/>
  <c r="M710" i="10" s="1"/>
  <c r="Y776" i="10" s="1"/>
  <c r="K702" i="10"/>
  <c r="M702" i="10" s="1"/>
  <c r="Y768" i="10" s="1"/>
  <c r="K694" i="10"/>
  <c r="K686" i="10"/>
  <c r="M686" i="10" s="1"/>
  <c r="Y752" i="10" s="1"/>
  <c r="K701" i="10"/>
  <c r="M701" i="10" s="1"/>
  <c r="Y767" i="10" s="1"/>
  <c r="K680" i="10"/>
  <c r="M680" i="10" s="1"/>
  <c r="Y746" i="10" s="1"/>
  <c r="K672" i="10"/>
  <c r="M672" i="10" s="1"/>
  <c r="Y738" i="10" s="1"/>
  <c r="K709" i="10"/>
  <c r="M709" i="10" s="1"/>
  <c r="Y775" i="10" s="1"/>
  <c r="K688" i="10"/>
  <c r="M688" i="10" s="1"/>
  <c r="Y754" i="10" s="1"/>
  <c r="K677" i="10"/>
  <c r="K669" i="10"/>
  <c r="M669" i="10" s="1"/>
  <c r="Y735" i="10" s="1"/>
  <c r="K704" i="10"/>
  <c r="M704" i="10" s="1"/>
  <c r="Y770" i="10" s="1"/>
  <c r="K697" i="10"/>
  <c r="M697" i="10" s="1"/>
  <c r="Y763" i="10" s="1"/>
  <c r="K683" i="10"/>
  <c r="M683" i="10" s="1"/>
  <c r="Y749" i="10" s="1"/>
  <c r="K682" i="10"/>
  <c r="M682" i="10" s="1"/>
  <c r="Y748" i="10" s="1"/>
  <c r="K679" i="10"/>
  <c r="M679" i="10" s="1"/>
  <c r="Y745" i="10" s="1"/>
  <c r="K712" i="10"/>
  <c r="M712" i="10" s="1"/>
  <c r="Y778" i="10" s="1"/>
  <c r="K705" i="10"/>
  <c r="M705" i="10" s="1"/>
  <c r="Y771" i="10" s="1"/>
  <c r="K691" i="10"/>
  <c r="K690" i="10"/>
  <c r="M690" i="10" s="1"/>
  <c r="Y756" i="10" s="1"/>
  <c r="K676" i="10"/>
  <c r="K668" i="10"/>
  <c r="K698" i="10"/>
  <c r="M698" i="10" s="1"/>
  <c r="Y764" i="10" s="1"/>
  <c r="K670" i="10"/>
  <c r="M670" i="10" s="1"/>
  <c r="Y736" i="10" s="1"/>
  <c r="K707" i="10"/>
  <c r="M707" i="10" s="1"/>
  <c r="Y773" i="10" s="1"/>
  <c r="K671" i="10"/>
  <c r="M671" i="10" s="1"/>
  <c r="Y737" i="10" s="1"/>
  <c r="K673" i="10"/>
  <c r="M673" i="10" s="1"/>
  <c r="Y739" i="10" s="1"/>
  <c r="K713" i="10"/>
  <c r="M713" i="10" s="1"/>
  <c r="Y779" i="10" s="1"/>
  <c r="K699" i="10"/>
  <c r="K681" i="10"/>
  <c r="M681" i="10" s="1"/>
  <c r="Y747" i="10" s="1"/>
  <c r="K674" i="10"/>
  <c r="M674" i="10" s="1"/>
  <c r="Y740" i="10" s="1"/>
  <c r="K706" i="10"/>
  <c r="M706" i="10" s="1"/>
  <c r="Y772" i="10" s="1"/>
  <c r="K716" i="10"/>
  <c r="K696" i="10"/>
  <c r="M696" i="10" s="1"/>
  <c r="Y762" i="10" s="1"/>
  <c r="K685" i="10"/>
  <c r="M685" i="10" s="1"/>
  <c r="Y751" i="10" s="1"/>
  <c r="K678" i="10"/>
  <c r="M678" i="10" s="1"/>
  <c r="Y744" i="10" s="1"/>
  <c r="K693" i="10"/>
  <c r="M693" i="10" s="1"/>
  <c r="Y759" i="10" s="1"/>
  <c r="K675" i="10"/>
  <c r="M675" i="10" s="1"/>
  <c r="Y741" i="10" s="1"/>
  <c r="K689" i="10"/>
  <c r="M689" i="10" s="1"/>
  <c r="Y755" i="10" s="1"/>
  <c r="M694" i="10"/>
  <c r="Y760" i="10" s="1"/>
  <c r="M676" i="10"/>
  <c r="Y742" i="10" s="1"/>
  <c r="M699" i="10"/>
  <c r="Y765" i="10" s="1"/>
  <c r="M692" i="10"/>
  <c r="Y758" i="10" s="1"/>
  <c r="M677" i="10"/>
  <c r="Y743" i="10" s="1"/>
  <c r="M700" i="10"/>
  <c r="Y766" i="10" s="1"/>
  <c r="K715" i="10" l="1"/>
  <c r="M668" i="10"/>
  <c r="M715" i="10" l="1"/>
  <c r="Y734" i="10"/>
  <c r="Y815" i="10" s="1"/>
  <c r="F493" i="1" l="1"/>
  <c r="D493" i="1"/>
  <c r="B493" i="1"/>
  <c r="B575" i="1"/>
  <c r="B537" i="1" l="1"/>
  <c r="B516" i="1"/>
  <c r="B503" i="1"/>
  <c r="B508" i="1"/>
  <c r="B566" i="1"/>
  <c r="B526" i="1"/>
  <c r="B535" i="1"/>
  <c r="B542" i="1"/>
  <c r="B539" i="1"/>
  <c r="B565" i="1"/>
  <c r="B499" i="1"/>
  <c r="B538" i="1"/>
  <c r="B556" i="1"/>
  <c r="B518" i="1"/>
  <c r="B506" i="1"/>
  <c r="B570" i="1"/>
  <c r="B573" i="1"/>
  <c r="B533" i="1"/>
  <c r="B497" i="1"/>
  <c r="B498" i="1"/>
  <c r="B501" i="1"/>
  <c r="B517" i="1"/>
  <c r="B514" i="1"/>
  <c r="B507" i="1"/>
  <c r="B552" i="1"/>
  <c r="B545" i="1"/>
  <c r="B527" i="1"/>
  <c r="B522" i="1"/>
  <c r="B515" i="1"/>
  <c r="B540" i="1"/>
  <c r="B534" i="1"/>
  <c r="B564" i="1"/>
  <c r="B500" i="1"/>
  <c r="B557" i="1"/>
  <c r="B530" i="1"/>
  <c r="B561" i="1"/>
  <c r="B524" i="1" l="1"/>
  <c r="B550" i="1"/>
  <c r="B512" i="1"/>
  <c r="B525" i="1"/>
  <c r="B519" i="1"/>
  <c r="B532" i="1"/>
  <c r="B543" i="1"/>
  <c r="B546" i="1"/>
  <c r="B569" i="1"/>
  <c r="B558" i="1"/>
  <c r="B549" i="1"/>
  <c r="B554" i="1"/>
  <c r="B544" i="1"/>
  <c r="B567" i="1"/>
  <c r="B555" i="1"/>
  <c r="B563" i="1"/>
  <c r="B531" i="1"/>
  <c r="B496" i="1"/>
  <c r="B520" i="1"/>
  <c r="B548" i="1"/>
  <c r="B574" i="1"/>
  <c r="B568" i="1"/>
  <c r="B510" i="1"/>
  <c r="B551" i="1"/>
  <c r="B529" i="1"/>
  <c r="B559" i="1"/>
  <c r="B521" i="1"/>
  <c r="B562" i="1"/>
  <c r="B504" i="1"/>
  <c r="B560" i="1"/>
  <c r="B553" i="1"/>
  <c r="B513" i="1"/>
  <c r="B571" i="1"/>
  <c r="B509" i="1"/>
  <c r="B541" i="1"/>
  <c r="B505" i="1"/>
  <c r="B572" i="1"/>
  <c r="B523" i="1"/>
  <c r="B536" i="1"/>
  <c r="B528" i="1"/>
  <c r="B502" i="1"/>
  <c r="B511" i="1"/>
  <c r="B547" i="1"/>
  <c r="A493" i="1" l="1"/>
  <c r="A730" i="1"/>
  <c r="A726" i="1"/>
  <c r="A722" i="1"/>
  <c r="C115" i="8"/>
  <c r="CB730" i="1"/>
  <c r="C444" i="1"/>
  <c r="D367" i="1"/>
  <c r="C119" i="8" s="1"/>
  <c r="D221" i="1"/>
  <c r="B444" i="1" s="1"/>
  <c r="D5" i="7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F517" i="1" s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I363" i="9" s="1"/>
  <c r="CE65" i="1"/>
  <c r="CE63" i="1"/>
  <c r="I365" i="9" s="1"/>
  <c r="CE66" i="1"/>
  <c r="I368" i="9" s="1"/>
  <c r="CE68" i="1"/>
  <c r="C434" i="1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N751" i="1" s="1"/>
  <c r="R75" i="1"/>
  <c r="Q75" i="1"/>
  <c r="P75" i="1"/>
  <c r="I58" i="9" s="1"/>
  <c r="O75" i="1"/>
  <c r="H58" i="9" s="1"/>
  <c r="N75" i="1"/>
  <c r="G58" i="9" s="1"/>
  <c r="M75" i="1"/>
  <c r="F58" i="9" s="1"/>
  <c r="L75" i="1"/>
  <c r="E58" i="9" s="1"/>
  <c r="I75" i="1"/>
  <c r="N740" i="1" s="1"/>
  <c r="H75" i="1"/>
  <c r="H26" i="9" s="1"/>
  <c r="G75" i="1"/>
  <c r="F75" i="1"/>
  <c r="F26" i="9" s="1"/>
  <c r="AV75" i="1"/>
  <c r="AP75" i="1"/>
  <c r="N773" i="1" s="1"/>
  <c r="AJ75" i="1"/>
  <c r="AL75" i="1"/>
  <c r="N769" i="1" s="1"/>
  <c r="C186" i="9"/>
  <c r="AK75" i="1"/>
  <c r="I154" i="9" s="1"/>
  <c r="AG75" i="1"/>
  <c r="E154" i="9" s="1"/>
  <c r="AE75" i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C464" i="1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D275" i="1"/>
  <c r="B476" i="1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C470" i="1" s="1"/>
  <c r="E198" i="1"/>
  <c r="E199" i="1"/>
  <c r="C472" i="1" s="1"/>
  <c r="E200" i="1"/>
  <c r="F12" i="6" s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E153" i="1"/>
  <c r="E28" i="4" s="1"/>
  <c r="E152" i="1"/>
  <c r="D28" i="4" s="1"/>
  <c r="E151" i="1"/>
  <c r="C28" i="4" s="1"/>
  <c r="E150" i="1"/>
  <c r="E148" i="1"/>
  <c r="F19" i="4" s="1"/>
  <c r="E147" i="1"/>
  <c r="E146" i="1"/>
  <c r="D19" i="4" s="1"/>
  <c r="E145" i="1"/>
  <c r="C19" i="4" s="1"/>
  <c r="E144" i="1"/>
  <c r="C417" i="1" s="1"/>
  <c r="E141" i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6" i="1"/>
  <c r="N737" i="1"/>
  <c r="N768" i="1"/>
  <c r="N777" i="1"/>
  <c r="N739" i="1"/>
  <c r="N745" i="1"/>
  <c r="N76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C431" i="1"/>
  <c r="B438" i="1"/>
  <c r="B439" i="1"/>
  <c r="B440" i="1" s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BI730" i="1"/>
  <c r="C816" i="1"/>
  <c r="N743" i="1"/>
  <c r="N774" i="1"/>
  <c r="N747" i="1"/>
  <c r="G122" i="9"/>
  <c r="I26" i="9"/>
  <c r="F90" i="9"/>
  <c r="C218" i="9"/>
  <c r="D366" i="9"/>
  <c r="G812" i="1"/>
  <c r="CE64" i="1"/>
  <c r="F612" i="1" s="1"/>
  <c r="D368" i="9"/>
  <c r="I812" i="1"/>
  <c r="C276" i="9"/>
  <c r="CE70" i="1"/>
  <c r="CE76" i="1"/>
  <c r="I380" i="9" s="1"/>
  <c r="P812" i="1"/>
  <c r="CE77" i="1"/>
  <c r="CF77" i="1" s="1"/>
  <c r="I29" i="9"/>
  <c r="C95" i="9"/>
  <c r="CE79" i="1"/>
  <c r="J612" i="1" s="1"/>
  <c r="S748" i="1"/>
  <c r="E142" i="1"/>
  <c r="F10" i="4" s="1"/>
  <c r="G9" i="4"/>
  <c r="F9" i="4"/>
  <c r="AC726" i="1"/>
  <c r="E138" i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F28" i="4"/>
  <c r="CD722" i="1"/>
  <c r="CD71" i="1"/>
  <c r="E373" i="9" s="1"/>
  <c r="N765" i="1"/>
  <c r="N757" i="1"/>
  <c r="C615" i="1"/>
  <c r="V815" i="1"/>
  <c r="I816" i="1"/>
  <c r="E372" i="9"/>
  <c r="D612" i="1"/>
  <c r="F499" i="1"/>
  <c r="H505" i="1"/>
  <c r="F505" i="1"/>
  <c r="H515" i="1"/>
  <c r="H501" i="1"/>
  <c r="F501" i="1"/>
  <c r="F497" i="1"/>
  <c r="H497" i="1"/>
  <c r="H499" i="1"/>
  <c r="H511" i="1"/>
  <c r="I612" i="1" l="1"/>
  <c r="N775" i="1"/>
  <c r="B19" i="4"/>
  <c r="C34" i="5"/>
  <c r="N766" i="1"/>
  <c r="F11" i="6"/>
  <c r="G19" i="4"/>
  <c r="I90" i="9"/>
  <c r="D428" i="1"/>
  <c r="D32" i="6"/>
  <c r="F9" i="6"/>
  <c r="D277" i="1"/>
  <c r="C35" i="8" s="1"/>
  <c r="C33" i="8"/>
  <c r="L816" i="1"/>
  <c r="C440" i="1"/>
  <c r="C815" i="1"/>
  <c r="BP48" i="1"/>
  <c r="BP62" i="1" s="1"/>
  <c r="S48" i="1"/>
  <c r="S62" i="1" s="1"/>
  <c r="E750" i="1" s="1"/>
  <c r="I815" i="1"/>
  <c r="C432" i="1"/>
  <c r="H815" i="1"/>
  <c r="C430" i="1"/>
  <c r="I366" i="9"/>
  <c r="G816" i="1"/>
  <c r="F816" i="1"/>
  <c r="C429" i="1"/>
  <c r="BM48" i="1"/>
  <c r="BM62" i="1" s="1"/>
  <c r="E796" i="1" s="1"/>
  <c r="O48" i="1"/>
  <c r="O62" i="1" s="1"/>
  <c r="I48" i="1"/>
  <c r="I62" i="1" s="1"/>
  <c r="I12" i="9" s="1"/>
  <c r="AL48" i="1"/>
  <c r="AL62" i="1" s="1"/>
  <c r="E769" i="1" s="1"/>
  <c r="BZ48" i="1"/>
  <c r="BZ62" i="1" s="1"/>
  <c r="H332" i="9" s="1"/>
  <c r="BB48" i="1"/>
  <c r="BB62" i="1" s="1"/>
  <c r="E236" i="9" s="1"/>
  <c r="BG48" i="1"/>
  <c r="BG62" i="1" s="1"/>
  <c r="C268" i="9" s="1"/>
  <c r="AU48" i="1"/>
  <c r="AU62" i="1" s="1"/>
  <c r="P48" i="1"/>
  <c r="P62" i="1" s="1"/>
  <c r="I44" i="9" s="1"/>
  <c r="R48" i="1"/>
  <c r="R62" i="1" s="1"/>
  <c r="D76" i="9" s="1"/>
  <c r="BY48" i="1"/>
  <c r="BY62" i="1" s="1"/>
  <c r="Y48" i="1"/>
  <c r="Y62" i="1" s="1"/>
  <c r="J48" i="1"/>
  <c r="J62" i="1" s="1"/>
  <c r="E741" i="1" s="1"/>
  <c r="AP48" i="1"/>
  <c r="AP62" i="1" s="1"/>
  <c r="E773" i="1" s="1"/>
  <c r="BT48" i="1"/>
  <c r="BT62" i="1" s="1"/>
  <c r="CB48" i="1"/>
  <c r="CB62" i="1" s="1"/>
  <c r="C364" i="9" s="1"/>
  <c r="K48" i="1"/>
  <c r="K62" i="1" s="1"/>
  <c r="BW48" i="1"/>
  <c r="BW62" i="1" s="1"/>
  <c r="AW48" i="1"/>
  <c r="AW62" i="1" s="1"/>
  <c r="G204" i="9" s="1"/>
  <c r="M48" i="1"/>
  <c r="M62" i="1" s="1"/>
  <c r="E744" i="1" s="1"/>
  <c r="X48" i="1"/>
  <c r="X62" i="1" s="1"/>
  <c r="AD48" i="1"/>
  <c r="AD62" i="1" s="1"/>
  <c r="I108" i="9" s="1"/>
  <c r="BF48" i="1"/>
  <c r="BF62" i="1" s="1"/>
  <c r="E789" i="1" s="1"/>
  <c r="CA48" i="1"/>
  <c r="CA62" i="1" s="1"/>
  <c r="AQ48" i="1"/>
  <c r="AQ62" i="1" s="1"/>
  <c r="E774" i="1" s="1"/>
  <c r="Q48" i="1"/>
  <c r="Q62" i="1" s="1"/>
  <c r="E748" i="1" s="1"/>
  <c r="BQ48" i="1"/>
  <c r="BQ62" i="1" s="1"/>
  <c r="F300" i="9" s="1"/>
  <c r="C427" i="1"/>
  <c r="G48" i="1"/>
  <c r="G62" i="1" s="1"/>
  <c r="G12" i="9" s="1"/>
  <c r="H48" i="1"/>
  <c r="H62" i="1" s="1"/>
  <c r="E739" i="1" s="1"/>
  <c r="AS48" i="1"/>
  <c r="AS62" i="1" s="1"/>
  <c r="V48" i="1"/>
  <c r="V62" i="1" s="1"/>
  <c r="AJ48" i="1"/>
  <c r="AJ62" i="1" s="1"/>
  <c r="E767" i="1" s="1"/>
  <c r="AT48" i="1"/>
  <c r="AT62" i="1" s="1"/>
  <c r="D204" i="9" s="1"/>
  <c r="AZ48" i="1"/>
  <c r="AZ62" i="1" s="1"/>
  <c r="BJ48" i="1"/>
  <c r="BJ62" i="1" s="1"/>
  <c r="E793" i="1" s="1"/>
  <c r="BR48" i="1"/>
  <c r="BR62" i="1" s="1"/>
  <c r="AI48" i="1"/>
  <c r="AI62" i="1" s="1"/>
  <c r="E766" i="1" s="1"/>
  <c r="AG48" i="1"/>
  <c r="AG62" i="1" s="1"/>
  <c r="E48" i="1"/>
  <c r="E62" i="1" s="1"/>
  <c r="E736" i="1" s="1"/>
  <c r="BI48" i="1"/>
  <c r="BI62" i="1" s="1"/>
  <c r="BC48" i="1"/>
  <c r="BC62" i="1" s="1"/>
  <c r="T48" i="1"/>
  <c r="T62" i="1" s="1"/>
  <c r="D815" i="1"/>
  <c r="D816" i="1"/>
  <c r="N48" i="1"/>
  <c r="N62" i="1" s="1"/>
  <c r="AF48" i="1"/>
  <c r="AF62" i="1" s="1"/>
  <c r="D140" i="9" s="1"/>
  <c r="AN48" i="1"/>
  <c r="AN62" i="1" s="1"/>
  <c r="E172" i="9" s="1"/>
  <c r="AV48" i="1"/>
  <c r="AV62" i="1" s="1"/>
  <c r="F204" i="9" s="1"/>
  <c r="BD48" i="1"/>
  <c r="BD62" i="1" s="1"/>
  <c r="BL48" i="1"/>
  <c r="BL62" i="1" s="1"/>
  <c r="E795" i="1" s="1"/>
  <c r="BV48" i="1"/>
  <c r="BV62" i="1" s="1"/>
  <c r="D332" i="9" s="1"/>
  <c r="AY48" i="1"/>
  <c r="AY62" i="1" s="1"/>
  <c r="E782" i="1" s="1"/>
  <c r="AK48" i="1"/>
  <c r="AK62" i="1" s="1"/>
  <c r="AM48" i="1"/>
  <c r="AM62" i="1" s="1"/>
  <c r="AE48" i="1"/>
  <c r="AE62" i="1" s="1"/>
  <c r="AC48" i="1"/>
  <c r="AC62" i="1" s="1"/>
  <c r="H108" i="9" s="1"/>
  <c r="L48" i="1"/>
  <c r="L62" i="1" s="1"/>
  <c r="N764" i="1"/>
  <c r="N761" i="1"/>
  <c r="N755" i="1"/>
  <c r="N753" i="1"/>
  <c r="N752" i="1"/>
  <c r="I377" i="9"/>
  <c r="N746" i="1"/>
  <c r="G612" i="1"/>
  <c r="Q816" i="1"/>
  <c r="I381" i="9"/>
  <c r="C141" i="8"/>
  <c r="C448" i="1"/>
  <c r="B465" i="1"/>
  <c r="D368" i="1"/>
  <c r="C120" i="8" s="1"/>
  <c r="C112" i="8"/>
  <c r="B445" i="1"/>
  <c r="F15" i="6"/>
  <c r="G10" i="4"/>
  <c r="C10" i="4"/>
  <c r="P816" i="1"/>
  <c r="CF76" i="1"/>
  <c r="AW52" i="1" s="1"/>
  <c r="AW67" i="1" s="1"/>
  <c r="F8" i="6"/>
  <c r="C27" i="5"/>
  <c r="E19" i="4"/>
  <c r="C154" i="9"/>
  <c r="N762" i="1"/>
  <c r="C575" i="1"/>
  <c r="R816" i="1"/>
  <c r="C414" i="1"/>
  <c r="B10" i="4"/>
  <c r="C458" i="1"/>
  <c r="M816" i="1"/>
  <c r="N758" i="1"/>
  <c r="N760" i="1"/>
  <c r="E10" i="4"/>
  <c r="D463" i="1"/>
  <c r="G815" i="1"/>
  <c r="N778" i="1"/>
  <c r="G28" i="4"/>
  <c r="I370" i="9"/>
  <c r="K816" i="1"/>
  <c r="BK48" i="1"/>
  <c r="BK62" i="1" s="1"/>
  <c r="W48" i="1"/>
  <c r="W62" i="1" s="1"/>
  <c r="E754" i="1" s="1"/>
  <c r="AB48" i="1"/>
  <c r="AB62" i="1" s="1"/>
  <c r="D48" i="1"/>
  <c r="D62" i="1" s="1"/>
  <c r="E735" i="1" s="1"/>
  <c r="BS48" i="1"/>
  <c r="BS62" i="1" s="1"/>
  <c r="BA48" i="1"/>
  <c r="BA62" i="1" s="1"/>
  <c r="U48" i="1"/>
  <c r="U62" i="1" s="1"/>
  <c r="BU48" i="1"/>
  <c r="BU62" i="1" s="1"/>
  <c r="BE48" i="1"/>
  <c r="BE62" i="1" s="1"/>
  <c r="AO48" i="1"/>
  <c r="AO62" i="1" s="1"/>
  <c r="CC48" i="1"/>
  <c r="CC62" i="1" s="1"/>
  <c r="E812" i="1" s="1"/>
  <c r="BO48" i="1"/>
  <c r="BO62" i="1" s="1"/>
  <c r="AA48" i="1"/>
  <c r="AA62" i="1" s="1"/>
  <c r="F108" i="9" s="1"/>
  <c r="C48" i="1"/>
  <c r="BX48" i="1"/>
  <c r="BX62" i="1" s="1"/>
  <c r="BN48" i="1"/>
  <c r="BN62" i="1" s="1"/>
  <c r="C300" i="9" s="1"/>
  <c r="BH48" i="1"/>
  <c r="BH62" i="1" s="1"/>
  <c r="AX48" i="1"/>
  <c r="AX62" i="1" s="1"/>
  <c r="E781" i="1" s="1"/>
  <c r="AR48" i="1"/>
  <c r="AR62" i="1" s="1"/>
  <c r="AH48" i="1"/>
  <c r="AH62" i="1" s="1"/>
  <c r="E765" i="1" s="1"/>
  <c r="Z48" i="1"/>
  <c r="Z62" i="1" s="1"/>
  <c r="F48" i="1"/>
  <c r="F62" i="1" s="1"/>
  <c r="F12" i="9" s="1"/>
  <c r="F815" i="1"/>
  <c r="C90" i="9"/>
  <c r="N748" i="1"/>
  <c r="I372" i="9"/>
  <c r="C473" i="1"/>
  <c r="D330" i="1"/>
  <c r="C86" i="8" s="1"/>
  <c r="N771" i="1"/>
  <c r="P815" i="1"/>
  <c r="Q815" i="1"/>
  <c r="R815" i="1"/>
  <c r="S815" i="1"/>
  <c r="G186" i="9"/>
  <c r="N770" i="1"/>
  <c r="D186" i="9"/>
  <c r="I362" i="9"/>
  <c r="B446" i="1"/>
  <c r="D242" i="1"/>
  <c r="C418" i="1"/>
  <c r="D438" i="1"/>
  <c r="F14" i="6"/>
  <c r="O815" i="1"/>
  <c r="T815" i="1"/>
  <c r="C471" i="1"/>
  <c r="F10" i="6"/>
  <c r="D339" i="1"/>
  <c r="D26" i="9"/>
  <c r="N735" i="1"/>
  <c r="CE75" i="1"/>
  <c r="F7" i="6"/>
  <c r="E204" i="1"/>
  <c r="C468" i="1"/>
  <c r="I383" i="9"/>
  <c r="S816" i="1"/>
  <c r="D22" i="7"/>
  <c r="C40" i="5"/>
  <c r="C420" i="1"/>
  <c r="B28" i="4"/>
  <c r="N772" i="1"/>
  <c r="F186" i="9"/>
  <c r="BY52" i="1"/>
  <c r="BY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434" i="1"/>
  <c r="L815" i="1"/>
  <c r="C58" i="9"/>
  <c r="N741" i="1"/>
  <c r="N744" i="1"/>
  <c r="N756" i="1"/>
  <c r="N750" i="1"/>
  <c r="D292" i="1" l="1"/>
  <c r="C50" i="8" s="1"/>
  <c r="BT71" i="1"/>
  <c r="BY71" i="1"/>
  <c r="G341" i="9" s="1"/>
  <c r="E740" i="1"/>
  <c r="H172" i="9"/>
  <c r="E808" i="1"/>
  <c r="E300" i="9"/>
  <c r="E799" i="1"/>
  <c r="E76" i="9"/>
  <c r="H44" i="9"/>
  <c r="G332" i="9"/>
  <c r="E12" i="9"/>
  <c r="D44" i="9"/>
  <c r="C108" i="9"/>
  <c r="I268" i="9"/>
  <c r="E809" i="1"/>
  <c r="G172" i="9"/>
  <c r="E785" i="1"/>
  <c r="E332" i="9"/>
  <c r="E778" i="1"/>
  <c r="G300" i="9"/>
  <c r="E797" i="1"/>
  <c r="F140" i="9"/>
  <c r="E792" i="1"/>
  <c r="E763" i="1"/>
  <c r="E746" i="1"/>
  <c r="E801" i="1"/>
  <c r="C172" i="9"/>
  <c r="E755" i="1"/>
  <c r="E738" i="1"/>
  <c r="E745" i="1"/>
  <c r="D12" i="9"/>
  <c r="C44" i="9"/>
  <c r="E742" i="1"/>
  <c r="E790" i="1"/>
  <c r="D108" i="9"/>
  <c r="F268" i="9"/>
  <c r="H204" i="9"/>
  <c r="I332" i="9"/>
  <c r="F44" i="9"/>
  <c r="E805" i="1"/>
  <c r="E810" i="1"/>
  <c r="I76" i="9"/>
  <c r="E204" i="9"/>
  <c r="E806" i="1"/>
  <c r="F236" i="9"/>
  <c r="C140" i="9"/>
  <c r="E771" i="1"/>
  <c r="I300" i="9"/>
  <c r="E800" i="1"/>
  <c r="E756" i="1"/>
  <c r="E753" i="1"/>
  <c r="E761" i="1"/>
  <c r="E786" i="1"/>
  <c r="E803" i="1"/>
  <c r="E770" i="1"/>
  <c r="E747" i="1"/>
  <c r="I236" i="9"/>
  <c r="E762" i="1"/>
  <c r="G140" i="9"/>
  <c r="E749" i="1"/>
  <c r="E758" i="1"/>
  <c r="E760" i="1"/>
  <c r="D172" i="9"/>
  <c r="C76" i="9"/>
  <c r="I204" i="9"/>
  <c r="E811" i="1"/>
  <c r="H76" i="9"/>
  <c r="E777" i="1"/>
  <c r="H12" i="9"/>
  <c r="E780" i="1"/>
  <c r="AW71" i="1"/>
  <c r="F76" i="9"/>
  <c r="E751" i="1"/>
  <c r="E764" i="1"/>
  <c r="E140" i="9"/>
  <c r="C204" i="9"/>
  <c r="E776" i="1"/>
  <c r="G44" i="9"/>
  <c r="E779" i="1"/>
  <c r="E44" i="9"/>
  <c r="E743" i="1"/>
  <c r="E768" i="1"/>
  <c r="I140" i="9"/>
  <c r="H268" i="9"/>
  <c r="E783" i="1"/>
  <c r="C236" i="9"/>
  <c r="G236" i="9"/>
  <c r="E268" i="9"/>
  <c r="E787" i="1"/>
  <c r="H140" i="9"/>
  <c r="D373" i="1"/>
  <c r="D391" i="1" s="1"/>
  <c r="AM52" i="1"/>
  <c r="AM67" i="1" s="1"/>
  <c r="AM71" i="1" s="1"/>
  <c r="AR52" i="1"/>
  <c r="AR67" i="1" s="1"/>
  <c r="AR71" i="1" s="1"/>
  <c r="AC52" i="1"/>
  <c r="AC67" i="1" s="1"/>
  <c r="H113" i="9" s="1"/>
  <c r="AO52" i="1"/>
  <c r="AO67" i="1" s="1"/>
  <c r="F177" i="9" s="1"/>
  <c r="BE52" i="1"/>
  <c r="BE67" i="1" s="1"/>
  <c r="BZ52" i="1"/>
  <c r="BZ67" i="1" s="1"/>
  <c r="BZ71" i="1" s="1"/>
  <c r="H341" i="9" s="1"/>
  <c r="AT52" i="1"/>
  <c r="AT67" i="1" s="1"/>
  <c r="AT71" i="1" s="1"/>
  <c r="C711" i="1" s="1"/>
  <c r="R52" i="1"/>
  <c r="R67" i="1" s="1"/>
  <c r="R71" i="1" s="1"/>
  <c r="BT52" i="1"/>
  <c r="BT67" i="1" s="1"/>
  <c r="P52" i="1"/>
  <c r="P67" i="1" s="1"/>
  <c r="P71" i="1" s="1"/>
  <c r="BB52" i="1"/>
  <c r="BB67" i="1" s="1"/>
  <c r="BB71" i="1" s="1"/>
  <c r="E245" i="9" s="1"/>
  <c r="L52" i="1"/>
  <c r="L67" i="1" s="1"/>
  <c r="L71" i="1" s="1"/>
  <c r="BH52" i="1"/>
  <c r="BH67" i="1" s="1"/>
  <c r="AN52" i="1"/>
  <c r="AN67" i="1" s="1"/>
  <c r="AN71" i="1" s="1"/>
  <c r="E181" i="9" s="1"/>
  <c r="AP52" i="1"/>
  <c r="AP67" i="1" s="1"/>
  <c r="AP71" i="1" s="1"/>
  <c r="G181" i="9" s="1"/>
  <c r="AB52" i="1"/>
  <c r="AB67" i="1" s="1"/>
  <c r="O52" i="1"/>
  <c r="O67" i="1" s="1"/>
  <c r="O71" i="1" s="1"/>
  <c r="AI52" i="1"/>
  <c r="AI67" i="1" s="1"/>
  <c r="AI71" i="1" s="1"/>
  <c r="C700" i="1" s="1"/>
  <c r="Z52" i="1"/>
  <c r="Z67" i="1" s="1"/>
  <c r="Z71" i="1" s="1"/>
  <c r="CC52" i="1"/>
  <c r="CC67" i="1" s="1"/>
  <c r="CC71" i="1" s="1"/>
  <c r="C574" i="1" s="1"/>
  <c r="BX52" i="1"/>
  <c r="BX67" i="1" s="1"/>
  <c r="I52" i="1"/>
  <c r="I67" i="1" s="1"/>
  <c r="I71" i="1" s="1"/>
  <c r="I21" i="9" s="1"/>
  <c r="C52" i="1"/>
  <c r="BU52" i="1"/>
  <c r="BU67" i="1" s="1"/>
  <c r="K52" i="1"/>
  <c r="K67" i="1" s="1"/>
  <c r="K71" i="1" s="1"/>
  <c r="X52" i="1"/>
  <c r="X67" i="1" s="1"/>
  <c r="X71" i="1" s="1"/>
  <c r="E52" i="1"/>
  <c r="E67" i="1" s="1"/>
  <c r="E71" i="1" s="1"/>
  <c r="C498" i="1" s="1"/>
  <c r="G498" i="1" s="1"/>
  <c r="AS52" i="1"/>
  <c r="AS67" i="1" s="1"/>
  <c r="AS71" i="1" s="1"/>
  <c r="AQ52" i="1"/>
  <c r="AQ67" i="1" s="1"/>
  <c r="AQ71" i="1" s="1"/>
  <c r="H181" i="9" s="1"/>
  <c r="BL52" i="1"/>
  <c r="BL67" i="1" s="1"/>
  <c r="BL71" i="1" s="1"/>
  <c r="AG52" i="1"/>
  <c r="AG67" i="1" s="1"/>
  <c r="AG71" i="1" s="1"/>
  <c r="BO52" i="1"/>
  <c r="BO67" i="1" s="1"/>
  <c r="BO71" i="1" s="1"/>
  <c r="J52" i="1"/>
  <c r="J67" i="1" s="1"/>
  <c r="J71" i="1" s="1"/>
  <c r="C53" i="9" s="1"/>
  <c r="BA52" i="1"/>
  <c r="BA67" i="1" s="1"/>
  <c r="BA71" i="1" s="1"/>
  <c r="BI52" i="1"/>
  <c r="BI67" i="1" s="1"/>
  <c r="BI71" i="1" s="1"/>
  <c r="BJ52" i="1"/>
  <c r="BJ67" i="1" s="1"/>
  <c r="BJ71" i="1" s="1"/>
  <c r="C617" i="1" s="1"/>
  <c r="AV52" i="1"/>
  <c r="AV67" i="1" s="1"/>
  <c r="AV71" i="1" s="1"/>
  <c r="C541" i="1" s="1"/>
  <c r="BW52" i="1"/>
  <c r="BW67" i="1" s="1"/>
  <c r="BW71" i="1" s="1"/>
  <c r="AZ52" i="1"/>
  <c r="AZ67" i="1" s="1"/>
  <c r="AZ71" i="1" s="1"/>
  <c r="W52" i="1"/>
  <c r="W67" i="1" s="1"/>
  <c r="W71" i="1" s="1"/>
  <c r="C516" i="1" s="1"/>
  <c r="G516" i="1" s="1"/>
  <c r="CA52" i="1"/>
  <c r="CA67" i="1" s="1"/>
  <c r="CA71" i="1" s="1"/>
  <c r="BF52" i="1"/>
  <c r="BF67" i="1" s="1"/>
  <c r="I241" i="9" s="1"/>
  <c r="AY52" i="1"/>
  <c r="AY67" i="1" s="1"/>
  <c r="AY71" i="1" s="1"/>
  <c r="C625" i="1" s="1"/>
  <c r="T52" i="1"/>
  <c r="T67" i="1" s="1"/>
  <c r="J751" i="1" s="1"/>
  <c r="BV52" i="1"/>
  <c r="BV67" i="1" s="1"/>
  <c r="J805" i="1" s="1"/>
  <c r="AX52" i="1"/>
  <c r="AX67" i="1" s="1"/>
  <c r="J781" i="1" s="1"/>
  <c r="Y52" i="1"/>
  <c r="Y67" i="1" s="1"/>
  <c r="Y71" i="1" s="1"/>
  <c r="AE52" i="1"/>
  <c r="AE67" i="1" s="1"/>
  <c r="AE71" i="1" s="1"/>
  <c r="C524" i="1" s="1"/>
  <c r="G524" i="1" s="1"/>
  <c r="AL52" i="1"/>
  <c r="AL67" i="1" s="1"/>
  <c r="AL71" i="1" s="1"/>
  <c r="C703" i="1" s="1"/>
  <c r="BC52" i="1"/>
  <c r="BC67" i="1" s="1"/>
  <c r="BC71" i="1" s="1"/>
  <c r="BG52" i="1"/>
  <c r="BG67" i="1" s="1"/>
  <c r="BG71" i="1" s="1"/>
  <c r="C618" i="1" s="1"/>
  <c r="Q52" i="1"/>
  <c r="Q67" i="1" s="1"/>
  <c r="Q71" i="1" s="1"/>
  <c r="C682" i="1" s="1"/>
  <c r="U52" i="1"/>
  <c r="U67" i="1" s="1"/>
  <c r="U71" i="1" s="1"/>
  <c r="H52" i="1"/>
  <c r="H67" i="1" s="1"/>
  <c r="H71" i="1" s="1"/>
  <c r="C501" i="1" s="1"/>
  <c r="G501" i="1" s="1"/>
  <c r="BQ52" i="1"/>
  <c r="BQ67" i="1" s="1"/>
  <c r="J800" i="1" s="1"/>
  <c r="BM52" i="1"/>
  <c r="BM67" i="1" s="1"/>
  <c r="J796" i="1" s="1"/>
  <c r="BN52" i="1"/>
  <c r="BN67" i="1" s="1"/>
  <c r="C305" i="9" s="1"/>
  <c r="D52" i="1"/>
  <c r="D67" i="1" s="1"/>
  <c r="D17" i="9" s="1"/>
  <c r="G52" i="1"/>
  <c r="G67" i="1" s="1"/>
  <c r="G17" i="9" s="1"/>
  <c r="AH52" i="1"/>
  <c r="AH67" i="1" s="1"/>
  <c r="AH71" i="1" s="1"/>
  <c r="F149" i="9" s="1"/>
  <c r="N52" i="1"/>
  <c r="N67" i="1" s="1"/>
  <c r="N71" i="1" s="1"/>
  <c r="G53" i="9" s="1"/>
  <c r="S52" i="1"/>
  <c r="S67" i="1" s="1"/>
  <c r="S71" i="1" s="1"/>
  <c r="C512" i="1" s="1"/>
  <c r="G512" i="1" s="1"/>
  <c r="AJ52" i="1"/>
  <c r="AJ67" i="1" s="1"/>
  <c r="AJ71" i="1" s="1"/>
  <c r="BP52" i="1"/>
  <c r="BP67" i="1" s="1"/>
  <c r="BP71" i="1" s="1"/>
  <c r="AU52" i="1"/>
  <c r="AU67" i="1" s="1"/>
  <c r="AU71" i="1" s="1"/>
  <c r="C712" i="1" s="1"/>
  <c r="BS52" i="1"/>
  <c r="BS67" i="1" s="1"/>
  <c r="BS71" i="1" s="1"/>
  <c r="BD52" i="1"/>
  <c r="BD67" i="1" s="1"/>
  <c r="G241" i="9" s="1"/>
  <c r="F52" i="1"/>
  <c r="F67" i="1" s="1"/>
  <c r="F17" i="9" s="1"/>
  <c r="CB52" i="1"/>
  <c r="CB67" i="1" s="1"/>
  <c r="C369" i="9" s="1"/>
  <c r="M52" i="1"/>
  <c r="M67" i="1" s="1"/>
  <c r="F49" i="9" s="1"/>
  <c r="AA52" i="1"/>
  <c r="AA67" i="1" s="1"/>
  <c r="J758" i="1" s="1"/>
  <c r="BR52" i="1"/>
  <c r="BR67" i="1" s="1"/>
  <c r="G305" i="9" s="1"/>
  <c r="AF52" i="1"/>
  <c r="AF67" i="1" s="1"/>
  <c r="AF71" i="1" s="1"/>
  <c r="C525" i="1" s="1"/>
  <c r="G525" i="1" s="1"/>
  <c r="AD52" i="1"/>
  <c r="AD67" i="1" s="1"/>
  <c r="AD71" i="1" s="1"/>
  <c r="C695" i="1" s="1"/>
  <c r="BK52" i="1"/>
  <c r="BK67" i="1" s="1"/>
  <c r="BK71" i="1" s="1"/>
  <c r="AK52" i="1"/>
  <c r="AK67" i="1" s="1"/>
  <c r="J768" i="1" s="1"/>
  <c r="V52" i="1"/>
  <c r="V67" i="1" s="1"/>
  <c r="V71" i="1" s="1"/>
  <c r="N815" i="1"/>
  <c r="E807" i="1"/>
  <c r="F332" i="9"/>
  <c r="BX71" i="1"/>
  <c r="E759" i="1"/>
  <c r="G108" i="9"/>
  <c r="AB71" i="1"/>
  <c r="D364" i="9"/>
  <c r="D465" i="1"/>
  <c r="D300" i="9"/>
  <c r="E798" i="1"/>
  <c r="C332" i="9"/>
  <c r="BU71" i="1"/>
  <c r="E804" i="1"/>
  <c r="F71" i="1"/>
  <c r="E737" i="1"/>
  <c r="C62" i="1"/>
  <c r="CE48" i="1"/>
  <c r="E772" i="1"/>
  <c r="F172" i="9"/>
  <c r="AO71" i="1"/>
  <c r="D236" i="9"/>
  <c r="E784" i="1"/>
  <c r="E775" i="1"/>
  <c r="I172" i="9"/>
  <c r="G76" i="9"/>
  <c r="E752" i="1"/>
  <c r="E108" i="9"/>
  <c r="E757" i="1"/>
  <c r="BH71" i="1"/>
  <c r="D268" i="9"/>
  <c r="E791" i="1"/>
  <c r="BE71" i="1"/>
  <c r="H236" i="9"/>
  <c r="E788" i="1"/>
  <c r="E802" i="1"/>
  <c r="H300" i="9"/>
  <c r="G268" i="9"/>
  <c r="E794" i="1"/>
  <c r="J738" i="1"/>
  <c r="I273" i="9"/>
  <c r="D27" i="7"/>
  <c r="B448" i="1"/>
  <c r="F544" i="1"/>
  <c r="H544" i="1"/>
  <c r="H536" i="1"/>
  <c r="F536" i="1"/>
  <c r="F528" i="1"/>
  <c r="H528" i="1"/>
  <c r="F520" i="1"/>
  <c r="I378" i="9"/>
  <c r="K612" i="1"/>
  <c r="C465" i="1"/>
  <c r="N816" i="1"/>
  <c r="C126" i="8"/>
  <c r="F32" i="6"/>
  <c r="C478" i="1"/>
  <c r="C102" i="8"/>
  <c r="C482" i="1"/>
  <c r="F498" i="1"/>
  <c r="J788" i="1"/>
  <c r="H241" i="9"/>
  <c r="G209" i="9"/>
  <c r="J780" i="1"/>
  <c r="J808" i="1"/>
  <c r="G337" i="9"/>
  <c r="D177" i="9"/>
  <c r="J770" i="1"/>
  <c r="C476" i="1"/>
  <c r="F16" i="6"/>
  <c r="F516" i="1"/>
  <c r="H516" i="1"/>
  <c r="F305" i="9"/>
  <c r="F540" i="1"/>
  <c r="H540" i="1"/>
  <c r="F532" i="1"/>
  <c r="H532" i="1"/>
  <c r="F524" i="1"/>
  <c r="F550" i="1"/>
  <c r="F113" i="9"/>
  <c r="J737" i="1"/>
  <c r="J787" i="1"/>
  <c r="BN71" i="1" l="1"/>
  <c r="C559" i="1" s="1"/>
  <c r="D341" i="1"/>
  <c r="C481" i="1" s="1"/>
  <c r="D53" i="9"/>
  <c r="C676" i="1"/>
  <c r="D309" i="9"/>
  <c r="C627" i="1"/>
  <c r="C560" i="1"/>
  <c r="BV71" i="1"/>
  <c r="D341" i="9" s="1"/>
  <c r="AX71" i="1"/>
  <c r="C616" i="1" s="1"/>
  <c r="BM71" i="1"/>
  <c r="C638" i="1" s="1"/>
  <c r="F81" i="9"/>
  <c r="C508" i="1"/>
  <c r="G508" i="1" s="1"/>
  <c r="H53" i="9"/>
  <c r="C680" i="1"/>
  <c r="C548" i="1"/>
  <c r="F245" i="9"/>
  <c r="C633" i="1"/>
  <c r="E341" i="9"/>
  <c r="C568" i="1"/>
  <c r="C643" i="1"/>
  <c r="C117" i="9"/>
  <c r="C517" i="1"/>
  <c r="C689" i="1"/>
  <c r="C687" i="1"/>
  <c r="H85" i="9"/>
  <c r="C515" i="1"/>
  <c r="G515" i="1" s="1"/>
  <c r="C647" i="1"/>
  <c r="I341" i="9"/>
  <c r="C572" i="1"/>
  <c r="D181" i="9"/>
  <c r="C704" i="1"/>
  <c r="C532" i="1"/>
  <c r="G532" i="1" s="1"/>
  <c r="C518" i="1"/>
  <c r="G518" i="1" s="1"/>
  <c r="C690" i="1"/>
  <c r="D117" i="9"/>
  <c r="C554" i="1"/>
  <c r="C634" i="1"/>
  <c r="E277" i="9"/>
  <c r="E149" i="9"/>
  <c r="C526" i="1"/>
  <c r="G526" i="1" s="1"/>
  <c r="C698" i="1"/>
  <c r="C561" i="1"/>
  <c r="C621" i="1"/>
  <c r="E309" i="9"/>
  <c r="BD71" i="1"/>
  <c r="G245" i="9" s="1"/>
  <c r="C645" i="1"/>
  <c r="I209" i="9"/>
  <c r="BQ71" i="1"/>
  <c r="C562" i="1" s="1"/>
  <c r="D71" i="1"/>
  <c r="C497" i="1" s="1"/>
  <c r="G497" i="1" s="1"/>
  <c r="C640" i="1"/>
  <c r="C565" i="1"/>
  <c r="C507" i="1"/>
  <c r="G507" i="1" s="1"/>
  <c r="J744" i="1"/>
  <c r="J735" i="1"/>
  <c r="C570" i="1"/>
  <c r="J782" i="1"/>
  <c r="C504" i="1"/>
  <c r="G504" i="1" s="1"/>
  <c r="AA71" i="1"/>
  <c r="C692" i="1" s="1"/>
  <c r="T71" i="1"/>
  <c r="F85" i="9" s="1"/>
  <c r="AC71" i="1"/>
  <c r="H117" i="9" s="1"/>
  <c r="C149" i="9"/>
  <c r="C696" i="1"/>
  <c r="M71" i="1"/>
  <c r="F53" i="9" s="1"/>
  <c r="E213" i="9"/>
  <c r="CB71" i="1"/>
  <c r="C573" i="1" s="1"/>
  <c r="G71" i="1"/>
  <c r="G21" i="9" s="1"/>
  <c r="C679" i="1"/>
  <c r="H524" i="1"/>
  <c r="AK71" i="1"/>
  <c r="I149" i="9" s="1"/>
  <c r="BF71" i="1"/>
  <c r="C551" i="1" s="1"/>
  <c r="I309" i="9"/>
  <c r="C540" i="1"/>
  <c r="G540" i="1" s="1"/>
  <c r="BR71" i="1"/>
  <c r="C502" i="1"/>
  <c r="G502" i="1" s="1"/>
  <c r="I277" i="9"/>
  <c r="C558" i="1"/>
  <c r="E85" i="9"/>
  <c r="C535" i="1"/>
  <c r="G535" i="1" s="1"/>
  <c r="C536" i="1"/>
  <c r="G536" i="1" s="1"/>
  <c r="C684" i="1"/>
  <c r="C713" i="1"/>
  <c r="C552" i="1"/>
  <c r="C674" i="1"/>
  <c r="C678" i="1"/>
  <c r="C277" i="9"/>
  <c r="E21" i="9"/>
  <c r="C646" i="1"/>
  <c r="C181" i="9"/>
  <c r="C670" i="1"/>
  <c r="C571" i="1"/>
  <c r="C527" i="1"/>
  <c r="G527" i="1" s="1"/>
  <c r="C619" i="1"/>
  <c r="C503" i="1"/>
  <c r="G503" i="1" s="1"/>
  <c r="C708" i="1"/>
  <c r="C675" i="1"/>
  <c r="C531" i="1"/>
  <c r="G531" i="1" s="1"/>
  <c r="C506" i="1"/>
  <c r="G506" i="1" s="1"/>
  <c r="C673" i="1"/>
  <c r="C309" i="9"/>
  <c r="C707" i="1"/>
  <c r="C533" i="1"/>
  <c r="G533" i="1" s="1"/>
  <c r="C632" i="1"/>
  <c r="C555" i="1"/>
  <c r="C629" i="1"/>
  <c r="I213" i="9"/>
  <c r="C547" i="1"/>
  <c r="C528" i="1"/>
  <c r="G528" i="1" s="1"/>
  <c r="C697" i="1"/>
  <c r="G517" i="1"/>
  <c r="H517" i="1" s="1"/>
  <c r="F277" i="9"/>
  <c r="F213" i="9"/>
  <c r="C539" i="1"/>
  <c r="G539" i="1" s="1"/>
  <c r="D149" i="9"/>
  <c r="I117" i="9"/>
  <c r="D213" i="9"/>
  <c r="D373" i="9"/>
  <c r="C523" i="1"/>
  <c r="G523" i="1" s="1"/>
  <c r="C544" i="1"/>
  <c r="G544" i="1" s="1"/>
  <c r="G149" i="9"/>
  <c r="C620" i="1"/>
  <c r="C699" i="1"/>
  <c r="H21" i="9"/>
  <c r="I85" i="9"/>
  <c r="C543" i="1"/>
  <c r="C705" i="1"/>
  <c r="C681" i="1"/>
  <c r="C509" i="1"/>
  <c r="G509" i="1" s="1"/>
  <c r="I53" i="9"/>
  <c r="C688" i="1"/>
  <c r="C511" i="1"/>
  <c r="G511" i="1" s="1"/>
  <c r="D85" i="9"/>
  <c r="C683" i="1"/>
  <c r="C513" i="1"/>
  <c r="G513" i="1" s="1"/>
  <c r="G213" i="9"/>
  <c r="C542" i="1"/>
  <c r="C631" i="1"/>
  <c r="C510" i="1"/>
  <c r="G510" i="1" s="1"/>
  <c r="C85" i="9"/>
  <c r="C710" i="1"/>
  <c r="C213" i="9"/>
  <c r="C538" i="1"/>
  <c r="G538" i="1" s="1"/>
  <c r="C685" i="1"/>
  <c r="H277" i="9"/>
  <c r="C557" i="1"/>
  <c r="C637" i="1"/>
  <c r="H149" i="9"/>
  <c r="C529" i="1"/>
  <c r="G529" i="1" s="1"/>
  <c r="C701" i="1"/>
  <c r="C628" i="1"/>
  <c r="C245" i="9"/>
  <c r="C545" i="1"/>
  <c r="G545" i="1" s="1"/>
  <c r="C677" i="1"/>
  <c r="E53" i="9"/>
  <c r="C505" i="1"/>
  <c r="G505" i="1" s="1"/>
  <c r="J772" i="1"/>
  <c r="J760" i="1"/>
  <c r="J801" i="1"/>
  <c r="H498" i="1"/>
  <c r="J797" i="1"/>
  <c r="D337" i="9"/>
  <c r="J775" i="1"/>
  <c r="I177" i="9"/>
  <c r="I145" i="9"/>
  <c r="I113" i="9"/>
  <c r="J761" i="1"/>
  <c r="J802" i="1"/>
  <c r="H305" i="9"/>
  <c r="J750" i="1"/>
  <c r="E81" i="9"/>
  <c r="H17" i="9"/>
  <c r="J739" i="1"/>
  <c r="F241" i="9"/>
  <c r="J786" i="1"/>
  <c r="J806" i="1"/>
  <c r="E337" i="9"/>
  <c r="J784" i="1"/>
  <c r="D241" i="9"/>
  <c r="J795" i="1"/>
  <c r="H273" i="9"/>
  <c r="J755" i="1"/>
  <c r="C113" i="9"/>
  <c r="J740" i="1"/>
  <c r="I17" i="9"/>
  <c r="J766" i="1"/>
  <c r="G145" i="9"/>
  <c r="J771" i="1"/>
  <c r="E177" i="9"/>
  <c r="I49" i="9"/>
  <c r="J747" i="1"/>
  <c r="H337" i="9"/>
  <c r="J809" i="1"/>
  <c r="J753" i="1"/>
  <c r="H81" i="9"/>
  <c r="D145" i="9"/>
  <c r="J763" i="1"/>
  <c r="E209" i="9"/>
  <c r="J778" i="1"/>
  <c r="J745" i="1"/>
  <c r="G49" i="9"/>
  <c r="G81" i="9"/>
  <c r="J752" i="1"/>
  <c r="C177" i="9"/>
  <c r="J769" i="1"/>
  <c r="J810" i="1"/>
  <c r="I337" i="9"/>
  <c r="F209" i="9"/>
  <c r="J779" i="1"/>
  <c r="C49" i="9"/>
  <c r="J741" i="1"/>
  <c r="H177" i="9"/>
  <c r="J774" i="1"/>
  <c r="J742" i="1"/>
  <c r="D49" i="9"/>
  <c r="J807" i="1"/>
  <c r="F337" i="9"/>
  <c r="J746" i="1"/>
  <c r="H49" i="9"/>
  <c r="D273" i="9"/>
  <c r="J791" i="1"/>
  <c r="J803" i="1"/>
  <c r="I305" i="9"/>
  <c r="J811" i="1"/>
  <c r="J789" i="1"/>
  <c r="H209" i="9"/>
  <c r="J799" i="1"/>
  <c r="E305" i="9"/>
  <c r="F145" i="9"/>
  <c r="J765" i="1"/>
  <c r="J748" i="1"/>
  <c r="C81" i="9"/>
  <c r="C145" i="9"/>
  <c r="J762" i="1"/>
  <c r="J754" i="1"/>
  <c r="I81" i="9"/>
  <c r="J793" i="1"/>
  <c r="F273" i="9"/>
  <c r="D305" i="9"/>
  <c r="J798" i="1"/>
  <c r="C209" i="9"/>
  <c r="J776" i="1"/>
  <c r="J804" i="1"/>
  <c r="C337" i="9"/>
  <c r="J812" i="1"/>
  <c r="D369" i="9"/>
  <c r="G113" i="9"/>
  <c r="J759" i="1"/>
  <c r="J743" i="1"/>
  <c r="E49" i="9"/>
  <c r="J749" i="1"/>
  <c r="D81" i="9"/>
  <c r="G273" i="9"/>
  <c r="J794" i="1"/>
  <c r="H145" i="9"/>
  <c r="J767" i="1"/>
  <c r="J790" i="1"/>
  <c r="C273" i="9"/>
  <c r="D113" i="9"/>
  <c r="J756" i="1"/>
  <c r="C241" i="9"/>
  <c r="J783" i="1"/>
  <c r="J792" i="1"/>
  <c r="E273" i="9"/>
  <c r="E145" i="9"/>
  <c r="J764" i="1"/>
  <c r="J736" i="1"/>
  <c r="E17" i="9"/>
  <c r="C67" i="1"/>
  <c r="CE52" i="1"/>
  <c r="J757" i="1"/>
  <c r="E113" i="9"/>
  <c r="J773" i="1"/>
  <c r="G177" i="9"/>
  <c r="E241" i="9"/>
  <c r="J785" i="1"/>
  <c r="D209" i="9"/>
  <c r="J777" i="1"/>
  <c r="C639" i="1"/>
  <c r="H309" i="9"/>
  <c r="C564" i="1"/>
  <c r="E117" i="9"/>
  <c r="C691" i="1"/>
  <c r="C519" i="1"/>
  <c r="G519" i="1" s="1"/>
  <c r="C569" i="1"/>
  <c r="C644" i="1"/>
  <c r="F341" i="9"/>
  <c r="C553" i="1"/>
  <c r="C636" i="1"/>
  <c r="D277" i="9"/>
  <c r="F181" i="9"/>
  <c r="C534" i="1"/>
  <c r="G534" i="1" s="1"/>
  <c r="C706" i="1"/>
  <c r="G277" i="9"/>
  <c r="C635" i="1"/>
  <c r="C556" i="1"/>
  <c r="G85" i="9"/>
  <c r="C686" i="1"/>
  <c r="C514" i="1"/>
  <c r="G514" i="1" s="1"/>
  <c r="D245" i="9"/>
  <c r="C630" i="1"/>
  <c r="C546" i="1"/>
  <c r="G546" i="1" s="1"/>
  <c r="G117" i="9"/>
  <c r="C693" i="1"/>
  <c r="C521" i="1"/>
  <c r="G521" i="1" s="1"/>
  <c r="H245" i="9"/>
  <c r="C614" i="1"/>
  <c r="C550" i="1"/>
  <c r="C709" i="1"/>
  <c r="C537" i="1"/>
  <c r="G537" i="1" s="1"/>
  <c r="I181" i="9"/>
  <c r="CE62" i="1"/>
  <c r="C71" i="1"/>
  <c r="C12" i="9"/>
  <c r="E734" i="1"/>
  <c r="E815" i="1" s="1"/>
  <c r="C641" i="1"/>
  <c r="C341" i="9"/>
  <c r="C566" i="1"/>
  <c r="F21" i="9"/>
  <c r="C671" i="1"/>
  <c r="C499" i="1"/>
  <c r="G499" i="1" s="1"/>
  <c r="F522" i="1"/>
  <c r="F510" i="1"/>
  <c r="F513" i="1"/>
  <c r="C142" i="8"/>
  <c r="D393" i="1"/>
  <c r="F538" i="1"/>
  <c r="H538" i="1"/>
  <c r="F496" i="1"/>
  <c r="F534" i="1"/>
  <c r="H534" i="1"/>
  <c r="H502" i="1"/>
  <c r="F502" i="1"/>
  <c r="H504" i="1"/>
  <c r="F504" i="1"/>
  <c r="F530" i="1"/>
  <c r="F512" i="1"/>
  <c r="H512" i="1"/>
  <c r="F526" i="1"/>
  <c r="F503" i="1"/>
  <c r="H503" i="1"/>
  <c r="H508" i="1"/>
  <c r="F508" i="1"/>
  <c r="F514" i="1"/>
  <c r="H507" i="1"/>
  <c r="F507" i="1"/>
  <c r="F518" i="1"/>
  <c r="H518" i="1" s="1"/>
  <c r="F546" i="1"/>
  <c r="F506" i="1"/>
  <c r="H506" i="1"/>
  <c r="F500" i="1"/>
  <c r="F509" i="1"/>
  <c r="F309" i="9" l="1"/>
  <c r="C642" i="1"/>
  <c r="C567" i="1"/>
  <c r="C500" i="1"/>
  <c r="G500" i="1" s="1"/>
  <c r="C522" i="1"/>
  <c r="G522" i="1" s="1"/>
  <c r="C672" i="1"/>
  <c r="C624" i="1"/>
  <c r="H213" i="9"/>
  <c r="I245" i="9"/>
  <c r="H526" i="1"/>
  <c r="C520" i="1"/>
  <c r="G520" i="1" s="1"/>
  <c r="F117" i="9"/>
  <c r="C530" i="1"/>
  <c r="G530" i="1" s="1"/>
  <c r="C694" i="1"/>
  <c r="C622" i="1"/>
  <c r="G309" i="9"/>
  <c r="C626" i="1"/>
  <c r="C563" i="1"/>
  <c r="C702" i="1"/>
  <c r="C549" i="1"/>
  <c r="C669" i="1"/>
  <c r="C373" i="9"/>
  <c r="C623" i="1"/>
  <c r="D21" i="9"/>
  <c r="H522" i="1"/>
  <c r="H520" i="1"/>
  <c r="H546" i="1"/>
  <c r="H509" i="1"/>
  <c r="H514" i="1"/>
  <c r="H513" i="1"/>
  <c r="H510" i="1"/>
  <c r="J734" i="1"/>
  <c r="J815" i="1" s="1"/>
  <c r="CE67" i="1"/>
  <c r="CE71" i="1" s="1"/>
  <c r="C17" i="9"/>
  <c r="C496" i="1"/>
  <c r="C668" i="1"/>
  <c r="C21" i="9"/>
  <c r="I364" i="9"/>
  <c r="E816" i="1"/>
  <c r="C428" i="1"/>
  <c r="G550" i="1"/>
  <c r="H550" i="1" s="1"/>
  <c r="D615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 s="1"/>
  <c r="H500" i="1" l="1"/>
  <c r="H530" i="1"/>
  <c r="C648" i="1"/>
  <c r="M716" i="1" s="1"/>
  <c r="Y816" i="1" s="1"/>
  <c r="C715" i="1"/>
  <c r="I369" i="9"/>
  <c r="C433" i="1"/>
  <c r="C441" i="1" s="1"/>
  <c r="J816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87" i="1"/>
  <c r="D644" i="1"/>
  <c r="D622" i="1"/>
  <c r="D700" i="1"/>
  <c r="D623" i="1"/>
  <c r="D705" i="1"/>
  <c r="D631" i="1"/>
  <c r="D70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45" i="1"/>
  <c r="D639" i="1"/>
  <c r="D686" i="1"/>
  <c r="D675" i="1"/>
  <c r="D682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92" i="1"/>
  <c r="D704" i="1"/>
  <c r="D628" i="1"/>
  <c r="D699" i="1"/>
  <c r="D711" i="1"/>
  <c r="D630" i="1"/>
  <c r="D676" i="1"/>
  <c r="C716" i="1"/>
  <c r="I373" i="9"/>
  <c r="G496" i="1"/>
  <c r="H496" i="1" s="1"/>
  <c r="D715" i="1" l="1"/>
  <c r="E623" i="1"/>
  <c r="E612" i="1"/>
  <c r="E716" i="1" l="1"/>
  <c r="E626" i="1"/>
  <c r="E705" i="1"/>
  <c r="E688" i="1"/>
  <c r="E698" i="1"/>
  <c r="E639" i="1"/>
  <c r="E685" i="1"/>
  <c r="E693" i="1"/>
  <c r="E679" i="1"/>
  <c r="E629" i="1"/>
  <c r="E636" i="1"/>
  <c r="E670" i="1"/>
  <c r="E631" i="1"/>
  <c r="E701" i="1"/>
  <c r="E624" i="1"/>
  <c r="E707" i="1"/>
  <c r="E708" i="1"/>
  <c r="E689" i="1"/>
  <c r="E710" i="1"/>
  <c r="E687" i="1"/>
  <c r="E673" i="1"/>
  <c r="E694" i="1"/>
  <c r="E704" i="1"/>
  <c r="E678" i="1"/>
  <c r="E712" i="1"/>
  <c r="E625" i="1"/>
  <c r="E638" i="1"/>
  <c r="E669" i="1"/>
  <c r="E634" i="1"/>
  <c r="E633" i="1"/>
  <c r="E692" i="1"/>
  <c r="E630" i="1"/>
  <c r="E640" i="1"/>
  <c r="E672" i="1"/>
  <c r="E696" i="1"/>
  <c r="E681" i="1"/>
  <c r="E686" i="1"/>
  <c r="E691" i="1"/>
  <c r="E690" i="1"/>
  <c r="E676" i="1"/>
  <c r="E680" i="1"/>
  <c r="E677" i="1"/>
  <c r="E709" i="1"/>
  <c r="E703" i="1"/>
  <c r="E699" i="1"/>
  <c r="E645" i="1"/>
  <c r="E711" i="1"/>
  <c r="E627" i="1"/>
  <c r="E635" i="1"/>
  <c r="E644" i="1"/>
  <c r="E674" i="1"/>
  <c r="E713" i="1"/>
  <c r="E671" i="1"/>
  <c r="E675" i="1"/>
  <c r="E682" i="1"/>
  <c r="E637" i="1"/>
  <c r="E628" i="1"/>
  <c r="E668" i="1"/>
  <c r="E642" i="1"/>
  <c r="E646" i="1"/>
  <c r="E641" i="1"/>
  <c r="E647" i="1"/>
  <c r="E683" i="1"/>
  <c r="E702" i="1"/>
  <c r="E700" i="1"/>
  <c r="E632" i="1"/>
  <c r="E695" i="1"/>
  <c r="E697" i="1"/>
  <c r="E643" i="1"/>
  <c r="E684" i="1"/>
  <c r="E706" i="1"/>
  <c r="E715" i="1" l="1"/>
  <c r="F624" i="1"/>
  <c r="F678" i="1" l="1"/>
  <c r="F708" i="1"/>
  <c r="F679" i="1"/>
  <c r="F682" i="1"/>
  <c r="F636" i="1"/>
  <c r="F625" i="1"/>
  <c r="G625" i="1" s="1"/>
  <c r="F630" i="1"/>
  <c r="F700" i="1"/>
  <c r="F691" i="1"/>
  <c r="F627" i="1"/>
  <c r="F637" i="1"/>
  <c r="F689" i="1"/>
  <c r="F628" i="1"/>
  <c r="F673" i="1"/>
  <c r="F699" i="1"/>
  <c r="F681" i="1"/>
  <c r="F716" i="1"/>
  <c r="F707" i="1"/>
  <c r="F688" i="1"/>
  <c r="F629" i="1"/>
  <c r="F642" i="1"/>
  <c r="F626" i="1"/>
  <c r="F712" i="1"/>
  <c r="F692" i="1"/>
  <c r="F672" i="1"/>
  <c r="F706" i="1"/>
  <c r="F670" i="1"/>
  <c r="F710" i="1"/>
  <c r="F693" i="1"/>
  <c r="F635" i="1"/>
  <c r="F647" i="1"/>
  <c r="F690" i="1"/>
  <c r="F671" i="1"/>
  <c r="F711" i="1"/>
  <c r="F634" i="1"/>
  <c r="F676" i="1"/>
  <c r="F704" i="1"/>
  <c r="F644" i="1"/>
  <c r="F709" i="1"/>
  <c r="F683" i="1"/>
  <c r="F639" i="1"/>
  <c r="F645" i="1"/>
  <c r="F677" i="1"/>
  <c r="F641" i="1"/>
  <c r="F697" i="1"/>
  <c r="F702" i="1"/>
  <c r="F705" i="1"/>
  <c r="F680" i="1"/>
  <c r="F687" i="1"/>
  <c r="F631" i="1"/>
  <c r="F675" i="1"/>
  <c r="F696" i="1"/>
  <c r="F640" i="1"/>
  <c r="F646" i="1"/>
  <c r="F713" i="1"/>
  <c r="F674" i="1"/>
  <c r="F638" i="1"/>
  <c r="F701" i="1"/>
  <c r="F633" i="1"/>
  <c r="F686" i="1"/>
  <c r="F695" i="1"/>
  <c r="F694" i="1"/>
  <c r="F632" i="1"/>
  <c r="F668" i="1"/>
  <c r="F669" i="1"/>
  <c r="F685" i="1"/>
  <c r="F703" i="1"/>
  <c r="F698" i="1"/>
  <c r="F643" i="1"/>
  <c r="F684" i="1"/>
  <c r="G628" i="1" l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68" i="1"/>
  <c r="G675" i="1"/>
  <c r="G704" i="1"/>
  <c r="G635" i="1"/>
  <c r="G713" i="1"/>
  <c r="G643" i="1"/>
  <c r="G708" i="1"/>
  <c r="G644" i="1"/>
  <c r="G638" i="1"/>
  <c r="G702" i="1"/>
  <c r="G669" i="1"/>
  <c r="G645" i="1"/>
  <c r="G640" i="1"/>
  <c r="G626" i="1"/>
  <c r="G689" i="1"/>
  <c r="G647" i="1"/>
  <c r="G684" i="1"/>
  <c r="G637" i="1"/>
  <c r="G678" i="1"/>
  <c r="G685" i="1"/>
  <c r="G716" i="1"/>
  <c r="G633" i="1"/>
  <c r="G697" i="1"/>
  <c r="G699" i="1"/>
  <c r="G688" i="1"/>
  <c r="G711" i="1"/>
  <c r="G690" i="1"/>
  <c r="G695" i="1"/>
  <c r="G710" i="1"/>
  <c r="G646" i="1"/>
  <c r="G636" i="1"/>
  <c r="G634" i="1"/>
  <c r="G706" i="1"/>
  <c r="G641" i="1"/>
  <c r="F715" i="1"/>
  <c r="H628" i="1" l="1"/>
  <c r="H697" i="1" s="1"/>
  <c r="G715" i="1"/>
  <c r="H680" i="1" l="1"/>
  <c r="H668" i="1"/>
  <c r="H684" i="1"/>
  <c r="H640" i="1"/>
  <c r="H679" i="1"/>
  <c r="H711" i="1"/>
  <c r="H707" i="1"/>
  <c r="H629" i="1"/>
  <c r="I629" i="1" s="1"/>
  <c r="H689" i="1"/>
  <c r="H635" i="1"/>
  <c r="H641" i="1"/>
  <c r="H688" i="1"/>
  <c r="H703" i="1"/>
  <c r="H716" i="1"/>
  <c r="H636" i="1"/>
  <c r="H678" i="1"/>
  <c r="H637" i="1"/>
  <c r="H691" i="1"/>
  <c r="H639" i="1"/>
  <c r="H675" i="1"/>
  <c r="H681" i="1"/>
  <c r="H669" i="1"/>
  <c r="H709" i="1"/>
  <c r="H705" i="1"/>
  <c r="H674" i="1"/>
  <c r="H638" i="1"/>
  <c r="H683" i="1"/>
  <c r="H693" i="1"/>
  <c r="H634" i="1"/>
  <c r="H712" i="1"/>
  <c r="H632" i="1"/>
  <c r="H643" i="1"/>
  <c r="H644" i="1"/>
  <c r="H690" i="1"/>
  <c r="H696" i="1"/>
  <c r="H713" i="1"/>
  <c r="H702" i="1"/>
  <c r="H672" i="1"/>
  <c r="H682" i="1"/>
  <c r="H700" i="1"/>
  <c r="H708" i="1"/>
  <c r="H685" i="1"/>
  <c r="H646" i="1"/>
  <c r="H686" i="1"/>
  <c r="H645" i="1"/>
  <c r="H695" i="1"/>
  <c r="H701" i="1"/>
  <c r="H671" i="1"/>
  <c r="H631" i="1"/>
  <c r="H694" i="1"/>
  <c r="H647" i="1"/>
  <c r="H677" i="1"/>
  <c r="H692" i="1"/>
  <c r="H706" i="1"/>
  <c r="H698" i="1"/>
  <c r="H630" i="1"/>
  <c r="H676" i="1"/>
  <c r="H633" i="1"/>
  <c r="H673" i="1"/>
  <c r="H704" i="1"/>
  <c r="H670" i="1"/>
  <c r="H699" i="1"/>
  <c r="H642" i="1"/>
  <c r="H710" i="1"/>
  <c r="H687" i="1"/>
  <c r="H715" i="1" l="1"/>
  <c r="I645" i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636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682" i="1"/>
  <c r="I700" i="1"/>
  <c r="I699" i="1"/>
  <c r="I691" i="1"/>
  <c r="I688" i="1"/>
  <c r="I698" i="1"/>
  <c r="I701" i="1"/>
  <c r="I679" i="1"/>
  <c r="I632" i="1"/>
  <c r="I635" i="1"/>
  <c r="I696" i="1"/>
  <c r="I644" i="1"/>
  <c r="I680" i="1"/>
  <c r="I695" i="1"/>
  <c r="I713" i="1"/>
  <c r="I643" i="1"/>
  <c r="I678" i="1"/>
  <c r="I633" i="1"/>
  <c r="I646" i="1"/>
  <c r="I685" i="1"/>
  <c r="I675" i="1"/>
  <c r="I690" i="1"/>
  <c r="I686" i="1"/>
  <c r="I639" i="1"/>
  <c r="I631" i="1"/>
  <c r="I638" i="1"/>
  <c r="I668" i="1"/>
  <c r="I703" i="1"/>
  <c r="I687" i="1"/>
  <c r="I710" i="1"/>
  <c r="I671" i="1"/>
  <c r="I706" i="1"/>
  <c r="I707" i="1"/>
  <c r="I715" i="1" l="1"/>
  <c r="J630" i="1"/>
  <c r="J634" i="1" l="1"/>
  <c r="J638" i="1"/>
  <c r="J687" i="1"/>
  <c r="J698" i="1"/>
  <c r="J699" i="1"/>
  <c r="J682" i="1"/>
  <c r="J646" i="1"/>
  <c r="J643" i="1"/>
  <c r="J672" i="1"/>
  <c r="J677" i="1"/>
  <c r="J692" i="1"/>
  <c r="J673" i="1"/>
  <c r="J641" i="1"/>
  <c r="J713" i="1"/>
  <c r="J689" i="1"/>
  <c r="J711" i="1"/>
  <c r="J691" i="1"/>
  <c r="J708" i="1"/>
  <c r="J640" i="1"/>
  <c r="J635" i="1"/>
  <c r="J642" i="1"/>
  <c r="J647" i="1"/>
  <c r="J693" i="1"/>
  <c r="J685" i="1"/>
  <c r="J669" i="1"/>
  <c r="J674" i="1"/>
  <c r="J668" i="1"/>
  <c r="J696" i="1"/>
  <c r="J676" i="1"/>
  <c r="J700" i="1"/>
  <c r="J706" i="1"/>
  <c r="J702" i="1"/>
  <c r="J671" i="1"/>
  <c r="J681" i="1"/>
  <c r="J686" i="1"/>
  <c r="J705" i="1"/>
  <c r="J645" i="1"/>
  <c r="J688" i="1"/>
  <c r="J707" i="1"/>
  <c r="J675" i="1"/>
  <c r="J678" i="1"/>
  <c r="J670" i="1"/>
  <c r="J632" i="1"/>
  <c r="J636" i="1"/>
  <c r="J694" i="1"/>
  <c r="J644" i="1"/>
  <c r="J637" i="1"/>
  <c r="J703" i="1"/>
  <c r="J712" i="1"/>
  <c r="J633" i="1"/>
  <c r="J710" i="1"/>
  <c r="J680" i="1"/>
  <c r="J683" i="1"/>
  <c r="J684" i="1"/>
  <c r="J695" i="1"/>
  <c r="J701" i="1"/>
  <c r="J716" i="1"/>
  <c r="J709" i="1"/>
  <c r="J704" i="1"/>
  <c r="J639" i="1"/>
  <c r="J631" i="1"/>
  <c r="J697" i="1"/>
  <c r="J679" i="1"/>
  <c r="J690" i="1"/>
  <c r="K644" i="1" l="1"/>
  <c r="K679" i="1" s="1"/>
  <c r="L647" i="1"/>
  <c r="L705" i="1" s="1"/>
  <c r="J715" i="1"/>
  <c r="L703" i="1" l="1"/>
  <c r="L699" i="1"/>
  <c r="L701" i="1"/>
  <c r="L683" i="1"/>
  <c r="L670" i="1"/>
  <c r="L669" i="1"/>
  <c r="L677" i="1"/>
  <c r="L688" i="1"/>
  <c r="L700" i="1"/>
  <c r="L682" i="1"/>
  <c r="L686" i="1"/>
  <c r="L695" i="1"/>
  <c r="L708" i="1"/>
  <c r="L674" i="1"/>
  <c r="K671" i="1"/>
  <c r="K704" i="1"/>
  <c r="K697" i="1"/>
  <c r="K694" i="1"/>
  <c r="K698" i="1"/>
  <c r="K705" i="1"/>
  <c r="M705" i="1" s="1"/>
  <c r="Y771" i="1" s="1"/>
  <c r="K678" i="1"/>
  <c r="K682" i="1"/>
  <c r="M682" i="1" s="1"/>
  <c r="L680" i="1"/>
  <c r="L691" i="1"/>
  <c r="L668" i="1"/>
  <c r="L692" i="1"/>
  <c r="L675" i="1"/>
  <c r="L684" i="1"/>
  <c r="L710" i="1"/>
  <c r="L698" i="1"/>
  <c r="L697" i="1"/>
  <c r="L689" i="1"/>
  <c r="L716" i="1"/>
  <c r="K695" i="1"/>
  <c r="K675" i="1"/>
  <c r="K672" i="1"/>
  <c r="L694" i="1"/>
  <c r="L681" i="1"/>
  <c r="L673" i="1"/>
  <c r="K700" i="1"/>
  <c r="K677" i="1"/>
  <c r="K709" i="1"/>
  <c r="K707" i="1"/>
  <c r="K692" i="1"/>
  <c r="K686" i="1"/>
  <c r="K670" i="1"/>
  <c r="K674" i="1"/>
  <c r="K683" i="1"/>
  <c r="M683" i="1" s="1"/>
  <c r="K680" i="1"/>
  <c r="K712" i="1"/>
  <c r="K708" i="1"/>
  <c r="K703" i="1"/>
  <c r="L712" i="1"/>
  <c r="L671" i="1"/>
  <c r="L696" i="1"/>
  <c r="L685" i="1"/>
  <c r="L676" i="1"/>
  <c r="L711" i="1"/>
  <c r="L679" i="1"/>
  <c r="M679" i="1" s="1"/>
  <c r="K706" i="1"/>
  <c r="K689" i="1"/>
  <c r="K673" i="1"/>
  <c r="K696" i="1"/>
  <c r="M696" i="1" s="1"/>
  <c r="K710" i="1"/>
  <c r="K668" i="1"/>
  <c r="K669" i="1"/>
  <c r="M669" i="1" s="1"/>
  <c r="K684" i="1"/>
  <c r="K688" i="1"/>
  <c r="M688" i="1" s="1"/>
  <c r="K699" i="1"/>
  <c r="K711" i="1"/>
  <c r="K716" i="1"/>
  <c r="L713" i="1"/>
  <c r="L707" i="1"/>
  <c r="L704" i="1"/>
  <c r="L678" i="1"/>
  <c r="L690" i="1"/>
  <c r="L693" i="1"/>
  <c r="L687" i="1"/>
  <c r="L706" i="1"/>
  <c r="L672" i="1"/>
  <c r="L709" i="1"/>
  <c r="L702" i="1"/>
  <c r="K685" i="1"/>
  <c r="K687" i="1"/>
  <c r="K701" i="1"/>
  <c r="K676" i="1"/>
  <c r="K690" i="1"/>
  <c r="K693" i="1"/>
  <c r="K691" i="1"/>
  <c r="K702" i="1"/>
  <c r="K681" i="1"/>
  <c r="K713" i="1"/>
  <c r="M713" i="1" s="1"/>
  <c r="M703" i="1" l="1"/>
  <c r="Y769" i="1" s="1"/>
  <c r="M699" i="1"/>
  <c r="F151" i="9" s="1"/>
  <c r="M670" i="1"/>
  <c r="Y736" i="1" s="1"/>
  <c r="M695" i="1"/>
  <c r="Y761" i="1" s="1"/>
  <c r="M701" i="1"/>
  <c r="H151" i="9" s="1"/>
  <c r="M700" i="1"/>
  <c r="Y766" i="1" s="1"/>
  <c r="M708" i="1"/>
  <c r="H183" i="9" s="1"/>
  <c r="M674" i="1"/>
  <c r="Y740" i="1" s="1"/>
  <c r="M671" i="1"/>
  <c r="F23" i="9" s="1"/>
  <c r="M686" i="1"/>
  <c r="G87" i="9" s="1"/>
  <c r="M677" i="1"/>
  <c r="Y743" i="1" s="1"/>
  <c r="M694" i="1"/>
  <c r="H119" i="9" s="1"/>
  <c r="M704" i="1"/>
  <c r="Y770" i="1" s="1"/>
  <c r="M698" i="1"/>
  <c r="Y764" i="1" s="1"/>
  <c r="M678" i="1"/>
  <c r="Y744" i="1" s="1"/>
  <c r="M697" i="1"/>
  <c r="Y763" i="1" s="1"/>
  <c r="M690" i="1"/>
  <c r="D119" i="9" s="1"/>
  <c r="Y748" i="1"/>
  <c r="C87" i="9"/>
  <c r="E183" i="9"/>
  <c r="M681" i="1"/>
  <c r="I55" i="9" s="1"/>
  <c r="G151" i="9"/>
  <c r="M672" i="1"/>
  <c r="G23" i="9" s="1"/>
  <c r="M710" i="1"/>
  <c r="C215" i="9" s="1"/>
  <c r="M692" i="1"/>
  <c r="F119" i="9" s="1"/>
  <c r="M684" i="1"/>
  <c r="E87" i="9" s="1"/>
  <c r="M691" i="1"/>
  <c r="Y757" i="1" s="1"/>
  <c r="M709" i="1"/>
  <c r="Y775" i="1" s="1"/>
  <c r="M693" i="1"/>
  <c r="Y759" i="1" s="1"/>
  <c r="M707" i="1"/>
  <c r="Y773" i="1" s="1"/>
  <c r="M689" i="1"/>
  <c r="Y755" i="1" s="1"/>
  <c r="M712" i="1"/>
  <c r="E215" i="9" s="1"/>
  <c r="M680" i="1"/>
  <c r="Y746" i="1" s="1"/>
  <c r="M675" i="1"/>
  <c r="M673" i="1"/>
  <c r="Y739" i="1" s="1"/>
  <c r="M706" i="1"/>
  <c r="Y772" i="1" s="1"/>
  <c r="L715" i="1"/>
  <c r="Y735" i="1"/>
  <c r="D23" i="9"/>
  <c r="I87" i="9"/>
  <c r="Y754" i="1"/>
  <c r="Y765" i="1"/>
  <c r="M685" i="1"/>
  <c r="M676" i="1"/>
  <c r="M702" i="1"/>
  <c r="M687" i="1"/>
  <c r="M711" i="1"/>
  <c r="K715" i="1"/>
  <c r="M668" i="1"/>
  <c r="Y779" i="1"/>
  <c r="F215" i="9"/>
  <c r="Y749" i="1"/>
  <c r="D87" i="9"/>
  <c r="G55" i="9"/>
  <c r="Y745" i="1"/>
  <c r="C151" i="9"/>
  <c r="Y762" i="1"/>
  <c r="C183" i="9" l="1"/>
  <c r="E23" i="9"/>
  <c r="Y767" i="1"/>
  <c r="I119" i="9"/>
  <c r="D183" i="9"/>
  <c r="Y752" i="1"/>
  <c r="Y756" i="1"/>
  <c r="Y737" i="1"/>
  <c r="Y747" i="1"/>
  <c r="E55" i="9"/>
  <c r="Y774" i="1"/>
  <c r="I23" i="9"/>
  <c r="Y760" i="1"/>
  <c r="D151" i="9"/>
  <c r="E151" i="9"/>
  <c r="F183" i="9"/>
  <c r="F55" i="9"/>
  <c r="I183" i="9"/>
  <c r="G119" i="9"/>
  <c r="H55" i="9"/>
  <c r="Y776" i="1"/>
  <c r="G183" i="9"/>
  <c r="Y778" i="1"/>
  <c r="Y738" i="1"/>
  <c r="E119" i="9"/>
  <c r="Y750" i="1"/>
  <c r="Y758" i="1"/>
  <c r="Y741" i="1"/>
  <c r="C55" i="9"/>
  <c r="H23" i="9"/>
  <c r="C119" i="9"/>
  <c r="Y751" i="1"/>
  <c r="F87" i="9"/>
  <c r="Y753" i="1"/>
  <c r="H87" i="9"/>
  <c r="D55" i="9"/>
  <c r="Y742" i="1"/>
  <c r="Y734" i="1"/>
  <c r="C23" i="9"/>
  <c r="M715" i="1"/>
  <c r="D215" i="9"/>
  <c r="Y777" i="1"/>
  <c r="Y768" i="1"/>
  <c r="I151" i="9"/>
  <c r="Y815" i="1" l="1"/>
</calcChain>
</file>

<file path=xl/sharedStrings.xml><?xml version="1.0" encoding="utf-8"?>
<sst xmlns="http://schemas.openxmlformats.org/spreadsheetml/2006/main" count="4948" uniqueCount="1282">
  <si>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</si>
  <si>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</si>
  <si>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</si>
  <si>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</si>
  <si>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</si>
  <si>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</si>
  <si>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</si>
  <si>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</si>
  <si>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</si>
  <si>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</si>
  <si>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</si>
  <si>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</si>
  <si>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</si>
  <si>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</si>
  <si>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</si>
  <si>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</si>
  <si>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</si>
  <si>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</si>
  <si>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</si>
  <si>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</si>
  <si>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</si>
  <si>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</si>
  <si>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</si>
  <si>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</si>
  <si>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</si>
  <si>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</si>
  <si>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</si>
  <si>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</si>
  <si>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</si>
  <si>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</si>
  <si>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</si>
  <si>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</si>
  <si>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</si>
  <si>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</si>
  <si>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</si>
  <si>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</si>
  <si>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</si>
  <si>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</si>
  <si>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</si>
  <si>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</si>
  <si>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</si>
  <si>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</si>
  <si>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</si>
  <si>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</si>
  <si>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</si>
  <si>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</si>
  <si>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</si>
  <si>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</si>
  <si>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</si>
  <si>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</si>
  <si>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</si>
  <si>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</si>
  <si>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</si>
  <si>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</si>
  <si>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</si>
  <si>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</si>
  <si>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</si>
  <si>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</si>
  <si>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</si>
  <si>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</si>
  <si>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</si>
  <si>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</si>
  <si>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</si>
  <si>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</si>
  <si>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</si>
  <si>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</si>
  <si>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</si>
  <si>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</si>
  <si>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</si>
  <si>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</si>
  <si>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</si>
  <si>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</si>
  <si>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</si>
  <si>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</si>
  <si>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</si>
  <si>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</si>
  <si>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</si>
  <si>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</si>
  <si>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</si>
  <si>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</si>
  <si>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</si>
  <si>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</si>
  <si>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</si>
  <si>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</si>
  <si>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</si>
  <si>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</si>
  <si>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</si>
  <si>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</si>
  <si>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</si>
  <si>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</si>
  <si>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</si>
  <si>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</si>
  <si>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</si>
  <si>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</si>
  <si>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</si>
  <si>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</si>
  <si>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</si>
  <si>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</si>
  <si>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</si>
  <si>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</si>
  <si>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</si>
  <si>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</si>
  <si>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</si>
  <si>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</si>
  <si>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</si>
  <si>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</si>
  <si>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</si>
  <si>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</si>
  <si>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</si>
  <si>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</si>
  <si>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</si>
  <si>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</si>
  <si>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</si>
  <si>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</si>
  <si>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</si>
  <si>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</si>
  <si>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</si>
  <si>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</si>
  <si>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</si>
  <si>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</si>
  <si>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</si>
  <si>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</si>
  <si>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</si>
  <si>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</si>
  <si>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</si>
  <si>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</si>
  <si>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</si>
  <si>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</si>
  <si>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</si>
  <si>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</si>
  <si>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</si>
  <si>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</si>
  <si>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</si>
  <si>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</si>
  <si>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</si>
  <si>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</si>
  <si>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</si>
  <si>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</si>
  <si>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</si>
  <si>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</si>
  <si>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</si>
  <si>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</si>
  <si>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</si>
  <si>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</si>
  <si>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</si>
  <si>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</si>
  <si>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</si>
  <si>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</si>
  <si>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</si>
  <si>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</si>
  <si>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</si>
  <si>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</si>
  <si>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</si>
  <si>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</si>
  <si>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</si>
  <si>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</si>
  <si>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</si>
  <si>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</si>
  <si>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</si>
  <si>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</si>
  <si>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</si>
  <si>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</si>
  <si>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</si>
  <si>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</si>
  <si>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</si>
  <si>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</si>
  <si>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</si>
  <si>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</si>
  <si>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</si>
  <si>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</si>
  <si>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</si>
  <si>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</si>
  <si>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</si>
  <si>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</si>
  <si>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</si>
  <si>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</si>
  <si>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</si>
  <si>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</si>
  <si>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</si>
  <si>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</si>
  <si>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</si>
  <si>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</si>
  <si>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</si>
  <si>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</si>
  <si>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</si>
  <si>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</si>
  <si>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</si>
  <si>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</si>
  <si>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</si>
  <si>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</si>
  <si>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</si>
  <si>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</si>
  <si>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</si>
  <si>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</si>
  <si>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</si>
  <si>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</si>
  <si>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</si>
  <si>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</si>
  <si>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</si>
  <si>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</si>
  <si>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</si>
  <si>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</si>
  <si>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</si>
  <si>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</si>
  <si>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</si>
  <si>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</si>
  <si>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</si>
  <si>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</si>
  <si>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</si>
  <si>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</si>
  <si>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</si>
  <si>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</si>
  <si>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</si>
  <si>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</si>
  <si>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</si>
  <si>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</si>
  <si>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</si>
  <si>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</si>
  <si>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</si>
  <si>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</si>
  <si>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</si>
  <si>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</si>
  <si>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</si>
  <si>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</si>
  <si>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</si>
  <si>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</si>
  <si>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</si>
  <si>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</si>
  <si>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</si>
  <si>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</si>
  <si>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</si>
  <si>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</si>
  <si>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</si>
  <si>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</si>
  <si>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</si>
  <si>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</si>
  <si>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</si>
  <si>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</si>
  <si>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</si>
  <si>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</si>
  <si>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</si>
  <si>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</si>
  <si>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</si>
  <si>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</si>
  <si>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</si>
  <si>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</si>
  <si>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</si>
  <si>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</si>
  <si>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</si>
  <si>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</si>
  <si>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</si>
  <si>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</si>
  <si>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</si>
  <si>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</si>
  <si>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</si>
  <si>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</si>
  <si>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</si>
  <si>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</si>
  <si>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</si>
  <si>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</si>
  <si>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</si>
  <si>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</si>
  <si>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</si>
  <si>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</si>
  <si>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</si>
  <si>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</si>
  <si>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</si>
  <si>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</si>
  <si>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</si>
  <si>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</si>
  <si>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</si>
  <si>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</si>
  <si>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</si>
  <si>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</si>
  <si>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</si>
  <si>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</si>
  <si>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</si>
  <si>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</si>
  <si>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</si>
  <si>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</si>
  <si>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</si>
  <si>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</si>
  <si>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</si>
  <si>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</si>
  <si>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</si>
  <si>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</si>
  <si>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</si>
  <si>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</si>
  <si>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</si>
  <si>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</si>
  <si>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</si>
  <si>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</si>
  <si>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</si>
  <si>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</si>
  <si>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</si>
  <si>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</si>
  <si>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</si>
  <si>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</si>
  <si>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</si>
  <si>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</si>
  <si>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</si>
  <si>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</si>
  <si>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</si>
  <si>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</si>
  <si>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</si>
  <si>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</si>
  <si>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</si>
  <si>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</si>
  <si>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</si>
  <si>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</si>
  <si>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</si>
  <si>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</si>
  <si>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</si>
  <si>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</si>
  <si>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</si>
  <si>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</si>
  <si>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</si>
  <si>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</si>
  <si>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</si>
  <si>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</si>
  <si>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</si>
  <si>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</si>
  <si>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</si>
  <si>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</si>
  <si>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</si>
  <si>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</si>
  <si>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</si>
  <si>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</si>
  <si>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</si>
  <si>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</si>
  <si>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</si>
  <si>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</si>
  <si>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</si>
  <si>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</si>
  <si>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</si>
  <si>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</si>
  <si>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</si>
  <si>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</si>
  <si>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</si>
  <si>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</si>
  <si>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</si>
  <si>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</si>
  <si>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</si>
  <si>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</si>
  <si>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</si>
  <si>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</si>
  <si>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</si>
  <si>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</si>
  <si>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</si>
  <si>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</si>
  <si>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</si>
  <si>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</si>
  <si>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</si>
  <si>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</si>
  <si>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</si>
  <si>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</si>
  <si>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</si>
  <si>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</si>
  <si>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</si>
  <si>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</si>
  <si>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</si>
  <si>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</si>
  <si>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</si>
  <si>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</si>
  <si>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</si>
  <si>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</si>
  <si>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</si>
  <si>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</si>
  <si>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</si>
  <si>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</si>
  <si>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</si>
  <si>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</si>
  <si>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</si>
  <si>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</si>
  <si>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</si>
  <si>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</si>
  <si>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</si>
  <si>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</si>
  <si>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</si>
  <si>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</si>
  <si>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</si>
  <si>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</si>
  <si>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</si>
  <si>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</si>
  <si>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</si>
  <si>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</si>
  <si>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</si>
  <si>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</si>
  <si>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</si>
  <si>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</si>
  <si>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</si>
  <si>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</si>
  <si>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</si>
  <si>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</si>
  <si>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</si>
  <si>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</si>
  <si>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</si>
  <si>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</si>
  <si>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</si>
  <si>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</si>
  <si>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</si>
  <si>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</si>
  <si>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</si>
  <si>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</si>
  <si>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</si>
  <si>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</si>
  <si>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</si>
  <si>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</si>
  <si>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</si>
  <si>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</si>
  <si>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</si>
  <si>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</si>
  <si>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</si>
  <si>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</si>
  <si>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</si>
  <si>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</si>
  <si>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</si>
  <si>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</si>
  <si>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</si>
  <si>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</si>
  <si>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</si>
  <si>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</si>
  <si>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</si>
  <si>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</si>
  <si>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</si>
  <si>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</si>
  <si>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</si>
  <si>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</si>
  <si>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</si>
  <si>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</si>
  <si>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</si>
  <si>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</si>
  <si>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</si>
  <si>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</si>
  <si>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</si>
  <si>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</si>
  <si>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</si>
  <si>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</si>
  <si>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</si>
  <si>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</si>
  <si>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</si>
  <si>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</si>
  <si>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</si>
  <si>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</si>
  <si>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</si>
  <si>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</si>
  <si>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</si>
  <si>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</si>
  <si>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</si>
  <si>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</si>
  <si>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</si>
  <si>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</si>
  <si>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</si>
  <si>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</si>
  <si>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</si>
  <si>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</si>
  <si>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</si>
  <si>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</si>
  <si>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</si>
  <si>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</si>
  <si>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</si>
  <si>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</si>
  <si>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</si>
  <si>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</si>
  <si>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</si>
  <si>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</si>
  <si>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</si>
  <si>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</si>
  <si>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</si>
  <si>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</si>
  <si>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</si>
  <si>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</si>
  <si>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</si>
  <si>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</si>
  <si>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</si>
  <si>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</si>
  <si>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</si>
  <si>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</si>
  <si>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</si>
  <si>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</si>
  <si>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</si>
  <si>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</si>
  <si>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</si>
  <si>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</si>
  <si>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</si>
  <si>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</si>
  <si>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</si>
  <si>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</si>
  <si>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</si>
  <si>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</si>
  <si>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</si>
  <si>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</si>
  <si>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</si>
  <si>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</si>
  <si>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</si>
  <si>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</si>
  <si>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</si>
  <si>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</si>
  <si>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</si>
  <si>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</si>
  <si>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</si>
  <si>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</si>
  <si>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</si>
  <si>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</si>
  <si>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</si>
  <si>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</si>
  <si>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</si>
  <si>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</si>
  <si>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</si>
  <si>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</si>
  <si>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</si>
  <si>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</si>
  <si>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</si>
  <si>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</si>
  <si>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</si>
  <si>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</si>
  <si>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</si>
  <si>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</si>
  <si>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</si>
  <si>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</si>
  <si>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</si>
  <si>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</si>
  <si>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</si>
  <si>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</si>
  <si>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</si>
  <si>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</si>
  <si>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</si>
  <si>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</si>
  <si>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</si>
  <si>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</si>
  <si>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</si>
  <si>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</si>
  <si>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</si>
  <si>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</si>
  <si>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</si>
  <si>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</si>
  <si>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</si>
  <si>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</si>
  <si>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</si>
  <si>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</si>
  <si>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</si>
  <si>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</si>
  <si>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</si>
  <si>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</si>
  <si>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</si>
  <si>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</si>
  <si>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</si>
  <si>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</si>
  <si>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</si>
  <si>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</si>
  <si>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</si>
  <si>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</si>
  <si>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</si>
  <si>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</si>
  <si>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</si>
  <si>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</si>
  <si>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</si>
  <si>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</si>
  <si>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</si>
  <si>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</si>
  <si>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</si>
  <si>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</si>
  <si>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</si>
  <si>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</si>
  <si>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</si>
  <si>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</si>
  <si>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</si>
  <si>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</si>
  <si>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</si>
  <si>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</si>
  <si>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</si>
  <si>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</si>
  <si>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</si>
  <si>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</si>
  <si>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</si>
  <si>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</si>
  <si>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</si>
  <si>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</si>
  <si>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</si>
  <si>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</si>
  <si>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</si>
  <si>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</si>
  <si>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</si>
  <si>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</si>
  <si>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</si>
  <si>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</si>
  <si>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</si>
  <si>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</si>
  <si>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</si>
  <si>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</si>
  <si>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</si>
  <si>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</si>
  <si>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</si>
  <si>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</si>
  <si>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</si>
  <si>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</si>
  <si>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</si>
  <si>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</si>
  <si>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</si>
  <si>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</si>
  <si>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</si>
  <si>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</si>
  <si>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</si>
  <si>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</si>
  <si>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</si>
  <si>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</si>
  <si>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</si>
  <si>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</si>
  <si>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</si>
  <si>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</si>
  <si>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</si>
  <si>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</si>
  <si>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</si>
  <si>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</si>
  <si>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</si>
  <si>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</si>
  <si>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</si>
  <si>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</si>
  <si>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</si>
  <si>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</si>
  <si>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</si>
  <si>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</si>
  <si>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</si>
  <si>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</si>
  <si>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</si>
  <si>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</si>
  <si>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</si>
  <si>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</si>
  <si>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</si>
  <si>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</si>
  <si>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</si>
  <si>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</si>
  <si>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</si>
  <si>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</si>
  <si>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</si>
  <si>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</si>
  <si>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</si>
  <si>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</si>
  <si>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</si>
  <si>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</si>
  <si>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</si>
  <si>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</si>
  <si>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</si>
  <si>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</si>
  <si>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</si>
  <si>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</si>
  <si>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</si>
  <si>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</si>
  <si>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</si>
  <si>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</si>
  <si>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</si>
  <si>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</si>
  <si>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</si>
  <si>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</si>
  <si>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</si>
  <si>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</si>
  <si>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</si>
  <si>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</si>
  <si>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</si>
  <si>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</si>
  <si>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</si>
  <si>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</si>
  <si>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</si>
  <si>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</si>
  <si>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</si>
  <si>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</si>
  <si>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</si>
  <si>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</si>
  <si>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</si>
  <si>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</si>
  <si>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</si>
  <si>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</si>
  <si>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</si>
  <si>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</si>
  <si>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</si>
  <si>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</si>
  <si>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</si>
  <si>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</si>
  <si>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</si>
  <si>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</si>
  <si>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</si>
  <si>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</si>
  <si>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</si>
  <si>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</si>
  <si>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</si>
  <si>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</si>
  <si>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</si>
  <si>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</si>
  <si>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</si>
  <si>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</si>
  <si>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</si>
  <si>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</si>
  <si>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</si>
  <si>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</si>
  <si>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</si>
  <si>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</si>
  <si>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</si>
  <si>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</si>
  <si>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</si>
  <si>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</si>
  <si>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</si>
  <si>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</si>
  <si>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</si>
  <si>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</si>
  <si>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</si>
  <si>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</si>
  <si>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</si>
  <si>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</si>
  <si>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</si>
  <si>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</si>
  <si>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</si>
  <si>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</si>
  <si>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</si>
  <si>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</si>
  <si>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</si>
  <si>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</si>
  <si>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</si>
  <si>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</si>
  <si>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</si>
  <si>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</si>
  <si>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</si>
  <si>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</si>
  <si>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</si>
  <si>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</si>
  <si>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</si>
  <si>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</si>
  <si>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</si>
  <si>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</si>
  <si>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</si>
  <si>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</si>
  <si>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</si>
  <si>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</si>
  <si>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</si>
  <si>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</si>
  <si>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</si>
  <si>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</si>
  <si>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</si>
  <si>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</si>
  <si>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</si>
  <si>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</si>
  <si>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</si>
  <si>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</si>
  <si>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</si>
  <si>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</si>
  <si>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</si>
  <si>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</si>
  <si>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</si>
  <si>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</si>
  <si>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</si>
  <si>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</si>
  <si>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</si>
  <si>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</si>
  <si>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</si>
  <si>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</si>
  <si>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</si>
  <si>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</si>
  <si>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</si>
  <si>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</si>
  <si>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</si>
  <si>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</si>
  <si>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</si>
  <si>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</si>
  <si>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</si>
  <si>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</si>
  <si>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</si>
  <si>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</si>
  <si>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</si>
  <si>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</si>
  <si>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</si>
  <si>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</si>
  <si>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</si>
  <si>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</si>
  <si>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</si>
  <si>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</si>
  <si>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</si>
  <si>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</si>
  <si>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</si>
  <si>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</si>
  <si>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</si>
  <si>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</si>
  <si>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</si>
  <si>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</si>
  <si>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</si>
  <si>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</si>
  <si>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</si>
  <si>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</si>
  <si>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</si>
  <si>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</si>
  <si>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</si>
  <si>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</si>
  <si>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</si>
  <si>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</si>
  <si>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</si>
  <si>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</si>
  <si>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</si>
  <si>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</si>
  <si>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</si>
  <si>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</si>
  <si>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</si>
  <si>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</si>
  <si>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</si>
  <si>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</si>
  <si>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</si>
  <si>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</si>
  <si>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</si>
  <si>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</si>
  <si>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</si>
  <si>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</si>
  <si>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</si>
  <si>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</si>
  <si>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</si>
  <si>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</si>
  <si>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</si>
  <si>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</si>
  <si>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</si>
  <si>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</si>
  <si>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</si>
  <si>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</si>
  <si>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</si>
  <si>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</si>
  <si>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</si>
  <si>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</si>
  <si>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</si>
  <si>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</si>
  <si>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</si>
  <si>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</si>
  <si>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</si>
  <si>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</si>
  <si>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</si>
  <si>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</si>
  <si>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</si>
  <si>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</si>
  <si>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</si>
  <si>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</si>
  <si>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</si>
  <si>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</si>
  <si>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</si>
  <si>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</si>
  <si>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</si>
  <si>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</si>
  <si>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</si>
  <si>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</si>
  <si>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</si>
  <si>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</si>
  <si>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</si>
  <si>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</si>
  <si>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</si>
  <si>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</si>
  <si>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</si>
  <si>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</si>
  <si>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</si>
  <si>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</si>
  <si>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</si>
  <si>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</si>
  <si>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</si>
  <si>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</si>
  <si>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</si>
  <si>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</si>
  <si>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</si>
  <si>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</si>
  <si>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</si>
  <si>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</si>
  <si>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</si>
  <si>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</si>
  <si>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</si>
  <si>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</si>
  <si>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</si>
  <si>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</si>
  <si>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</si>
  <si>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</si>
  <si>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</si>
  <si>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</si>
  <si>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</si>
  <si>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</si>
  <si>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</si>
  <si>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</si>
  <si>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</si>
  <si>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</si>
  <si>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</si>
  <si>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</si>
  <si>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</si>
  <si>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</si>
  <si>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</si>
  <si>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</si>
  <si>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</si>
  <si>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</si>
  <si>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</si>
  <si>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</si>
  <si>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</si>
  <si>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</si>
  <si>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</si>
  <si>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</si>
  <si>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</si>
  <si>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</si>
  <si>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</si>
  <si>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</si>
  <si>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</si>
  <si>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</si>
  <si>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</si>
  <si>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</si>
  <si>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</si>
  <si>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</si>
  <si>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</si>
  <si>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</si>
  <si>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</si>
  <si>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</si>
  <si>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</si>
  <si>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</si>
  <si>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</si>
  <si>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</si>
  <si>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</si>
  <si>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</si>
  <si>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</si>
  <si>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</si>
  <si>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</si>
  <si>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</si>
  <si>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</si>
  <si>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</si>
  <si>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</si>
  <si>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</si>
  <si>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</si>
  <si>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</si>
  <si>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</si>
  <si>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</si>
  <si>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</si>
  <si>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</si>
  <si>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</si>
  <si>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</si>
  <si>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</si>
  <si>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</si>
  <si>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</si>
  <si>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</si>
  <si>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</si>
  <si>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</si>
  <si>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</si>
  <si>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</si>
  <si>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</si>
  <si>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</si>
  <si>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</si>
  <si>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</si>
  <si>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</si>
  <si>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</si>
  <si>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</si>
  <si>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</si>
  <si>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</si>
  <si>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</si>
  <si>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</si>
  <si>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</si>
  <si>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</si>
  <si>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</si>
  <si>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</si>
  <si>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</si>
  <si>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</si>
  <si>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</si>
  <si>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</si>
  <si>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</si>
  <si>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</si>
  <si>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</si>
  <si>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</si>
  <si>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</si>
  <si>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</si>
  <si>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</si>
  <si>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</si>
  <si>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</si>
  <si>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</si>
  <si>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</si>
  <si>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</si>
  <si>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</si>
  <si>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</si>
  <si>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</si>
  <si>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</si>
  <si>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</si>
  <si>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</si>
  <si>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</si>
  <si>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</si>
  <si>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</si>
  <si>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</si>
  <si>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</si>
  <si>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</si>
  <si>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</si>
  <si>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</si>
  <si>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</si>
  <si>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</si>
  <si>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</si>
  <si>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</si>
  <si>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</si>
  <si>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</si>
  <si>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</si>
  <si>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</si>
  <si>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</si>
  <si>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</si>
  <si>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</si>
  <si>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</si>
  <si>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</si>
  <si>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</si>
  <si>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</si>
  <si>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</si>
  <si>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</si>
  <si>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</si>
  <si>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</si>
  <si>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</si>
  <si>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</si>
  <si>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</si>
  <si>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</si>
  <si>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</si>
  <si>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</si>
  <si>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</si>
  <si>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</si>
  <si>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</si>
  <si>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</si>
  <si>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</si>
  <si>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</si>
  <si>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</si>
  <si>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</si>
  <si>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</si>
  <si>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</si>
  <si>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</si>
  <si>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</si>
  <si>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</si>
  <si>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</si>
  <si>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</si>
  <si>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</si>
  <si>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</si>
  <si>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</si>
  <si>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</si>
  <si>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</si>
  <si>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</si>
  <si>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</si>
  <si>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</si>
  <si>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</si>
  <si>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</si>
  <si>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</si>
  <si>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</si>
  <si>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</si>
  <si>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</si>
  <si>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</si>
  <si>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</si>
  <si>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</si>
  <si>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</si>
  <si>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</si>
  <si>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</si>
  <si>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</si>
  <si>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</si>
  <si>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</si>
  <si>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</si>
  <si>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</si>
  <si>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</si>
  <si>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</si>
  <si>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</si>
  <si>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</si>
  <si>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</si>
  <si>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</si>
  <si>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</si>
  <si>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</si>
  <si>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</si>
  <si>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</si>
  <si>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</si>
  <si>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</si>
  <si>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</si>
  <si>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</si>
  <si>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</si>
  <si>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</si>
  <si>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</si>
  <si>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</si>
  <si>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</si>
  <si>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</si>
  <si>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</si>
  <si>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</si>
  <si>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</si>
  <si>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</si>
  <si>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</si>
  <si>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</si>
  <si>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</si>
  <si>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</si>
  <si>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</si>
  <si>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</si>
  <si>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</si>
  <si>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</si>
  <si>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</si>
  <si>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</si>
  <si>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</si>
  <si>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</si>
  <si>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</si>
  <si>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</si>
  <si>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</si>
  <si>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</si>
  <si>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</si>
  <si>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</si>
  <si>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</si>
  <si>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</si>
  <si>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</si>
  <si>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</si>
  <si>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</si>
  <si>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</si>
  <si>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</si>
  <si>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</si>
  <si>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</si>
  <si>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</si>
  <si>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</si>
  <si>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</si>
  <si>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</si>
  <si>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</si>
  <si>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</si>
  <si>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</si>
  <si>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</si>
  <si>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</si>
  <si>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</si>
  <si>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</si>
  <si>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</si>
  <si>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</si>
  <si>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</si>
  <si>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</si>
  <si>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</si>
  <si>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</si>
  <si>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</si>
  <si>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</si>
  <si>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</si>
  <si>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</si>
  <si>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</si>
  <si>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</si>
  <si>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</si>
  <si>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</si>
  <si>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</si>
  <si>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</si>
  <si>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</si>
  <si>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</si>
  <si>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</si>
  <si>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</si>
  <si>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</si>
  <si>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</si>
  <si>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</si>
  <si>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</si>
  <si>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</si>
  <si>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</si>
  <si>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</si>
  <si>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</si>
  <si>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</si>
  <si>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</si>
  <si>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</si>
  <si>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</si>
  <si>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</si>
  <si>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</si>
  <si>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</si>
  <si>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</si>
  <si>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</si>
  <si>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</si>
  <si>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</si>
  <si>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</si>
  <si>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</si>
  <si>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</si>
  <si>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</si>
  <si>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</si>
  <si>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</si>
  <si>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</si>
  <si>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</si>
  <si>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</si>
  <si>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</si>
  <si>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</si>
  <si>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</si>
  <si>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</si>
  <si>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</si>
  <si>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</si>
  <si>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</si>
  <si>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</si>
  <si>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</si>
  <si>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</si>
  <si>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</si>
  <si>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</si>
  <si>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</si>
  <si>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</si>
  <si>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</si>
  <si>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</si>
  <si>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</si>
  <si>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</si>
  <si>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</si>
  <si>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</si>
  <si>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</si>
  <si>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</si>
  <si>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</si>
  <si>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</si>
  <si>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</si>
  <si>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</si>
  <si>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</si>
  <si>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</si>
  <si>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</si>
  <si>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</si>
  <si>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</si>
  <si>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</si>
  <si>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</si>
  <si>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</si>
  <si>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</si>
  <si>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</si>
  <si>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</si>
  <si>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</si>
  <si>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</si>
  <si>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</si>
  <si>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</si>
  <si>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</si>
  <si>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</si>
  <si>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</si>
  <si>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</si>
  <si>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</si>
  <si>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</si>
  <si>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</si>
  <si>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</si>
  <si>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</si>
  <si>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</si>
  <si>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</si>
  <si>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</si>
  <si>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</si>
  <si>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</si>
  <si>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</si>
  <si>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</si>
  <si>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</si>
  <si>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</si>
  <si>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</si>
  <si>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</si>
  <si>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</si>
  <si>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</si>
  <si>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</si>
  <si>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</si>
  <si>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</si>
  <si>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</si>
  <si>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</si>
  <si>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</si>
  <si>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</si>
  <si>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</si>
  <si>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</si>
  <si>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</si>
  <si>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</si>
  <si>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</si>
  <si>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</si>
  <si>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</si>
  <si>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</si>
  <si>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</si>
  <si>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</si>
  <si>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</si>
  <si>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</si>
  <si>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</si>
  <si>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</si>
  <si>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</si>
  <si>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</si>
  <si>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</si>
  <si>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</si>
  <si>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</si>
  <si>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</si>
  <si>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</si>
  <si>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</si>
  <si>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</si>
  <si>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</si>
  <si>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</si>
  <si>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</si>
  <si>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</si>
  <si>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</si>
  <si>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</si>
  <si>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</si>
  <si>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</si>
  <si>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</si>
  <si>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</si>
  <si>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</si>
  <si>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</si>
  <si>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</si>
  <si>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</si>
  <si>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</si>
  <si>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</si>
  <si>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06/30/2020</t>
  </si>
  <si>
    <t>06/30/2019</t>
  </si>
  <si>
    <t>2018</t>
  </si>
  <si>
    <t>King</t>
  </si>
  <si>
    <t>Ketul Patel</t>
  </si>
  <si>
    <t>Mike Fitzgerald</t>
  </si>
  <si>
    <t>Roy Brooks</t>
  </si>
  <si>
    <t>201</t>
  </si>
  <si>
    <t>St. Francis Hospital</t>
  </si>
  <si>
    <t>34515 9th Ave S</t>
  </si>
  <si>
    <t>Federal Way, WA  98003</t>
  </si>
  <si>
    <t>253-944-8100</t>
  </si>
  <si>
    <t>253-428-8313</t>
  </si>
  <si>
    <t>Change in Allocation Methodology for FY19</t>
  </si>
  <si>
    <t>increased revenue but decreased volume</t>
  </si>
  <si>
    <t>change in mapping/ FY20 costs are in 8320</t>
  </si>
  <si>
    <t>Uli Chi, PhD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</si>
</sst>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  <xf numFmtId="37" fontId="6" fillId="0" borderId="0"/>
    <xf numFmtId="37" fontId="6" fillId="0" borderId="0"/>
  </cellStyleXfs>
  <cellXfs count="29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1" xfId="1" quotePrefix="1" applyNumberFormat="1" applyFont="1" applyFill="1" applyBorder="1" applyProtection="1">
      <protection locked="0"/>
    </xf>
    <xf numFmtId="37" fontId="9" fillId="0" borderId="1" xfId="0" quotePrefix="1" applyNumberFormat="1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7" fontId="3" fillId="0" borderId="0" xfId="0" quotePrefix="1" applyFont="1" applyProtection="1"/>
    <xf numFmtId="37" fontId="9" fillId="0" borderId="1" xfId="0" quotePrefix="1" applyFont="1" applyBorder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7">
    <cellStyle name="Comma" xfId="1" builtinId="3"/>
    <cellStyle name="Hyperlink" xfId="2" builtinId="8"/>
    <cellStyle name="Normal" xfId="0" builtinId="0"/>
    <cellStyle name="Normal 2" xfId="4" xr:uid="{00000000-0005-0000-0000-000003000000}"/>
    <cellStyle name="Normal 3 2" xfId="6" xr:uid="{00000000-0005-0000-0000-000004000000}"/>
    <cellStyle name="Normal 6" xfId="5" xr:uid="{00000000-0005-0000-0000-000005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435</xdr:row>
      <xdr:rowOff>0</xdr:rowOff>
    </xdr:from>
    <xdr:to>
      <xdr:col>6</xdr:col>
      <xdr:colOff>868680</xdr:colOff>
      <xdr:row>438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0360" y="69905880"/>
          <a:ext cx="3208020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47" transitionEvaluation="1" transitionEntry="1" codeName="Sheet1">
    <pageSetUpPr autoPageBreaks="0" fitToPage="1"/>
  </sheetPr>
  <dimension ref="A1:CF817"/>
  <sheetViews>
    <sheetView showGridLines="0" tabSelected="1" topLeftCell="A41" zoomScale="75" zoomScaleNormal="75" workbookViewId="0">
      <pane xSplit="1" ySplit="6" topLeftCell="B47" activePane="bottomRight" state="frozen"/>
      <selection activeCell="A41" sqref="A41"/>
      <selection pane="topRight" activeCell="B41" sqref="B41"/>
      <selection pane="bottomLeft" activeCell="A47" sqref="A47"/>
      <selection pane="bottomRight" activeCell="B59" sqref="B59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>
        <v>1073457.1100000001</v>
      </c>
      <c r="D47" s="184"/>
      <c r="E47" s="184">
        <v>4902207.54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>
        <v>1370100.28</v>
      </c>
      <c r="P47" s="184">
        <v>2202173.4300000002</v>
      </c>
      <c r="Q47" s="184">
        <v>682055.57</v>
      </c>
      <c r="R47" s="184"/>
      <c r="S47" s="184">
        <v>294984.71000000002</v>
      </c>
      <c r="T47" s="184">
        <v>71975.789999999994</v>
      </c>
      <c r="U47" s="184">
        <v>557127.01</v>
      </c>
      <c r="V47" s="184">
        <v>131857.32999999999</v>
      </c>
      <c r="W47" s="184">
        <v>100789.75999999999</v>
      </c>
      <c r="X47" s="184">
        <v>204141.84</v>
      </c>
      <c r="Y47" s="184">
        <v>767057.48</v>
      </c>
      <c r="Z47" s="184">
        <v>143108.53</v>
      </c>
      <c r="AA47" s="184">
        <v>79951.520000000004</v>
      </c>
      <c r="AB47" s="184">
        <v>627210</v>
      </c>
      <c r="AC47" s="184">
        <v>302962.40000000002</v>
      </c>
      <c r="AD47" s="184"/>
      <c r="AE47" s="184">
        <v>469792.45</v>
      </c>
      <c r="AF47" s="184"/>
      <c r="AG47" s="184">
        <v>1470794.42</v>
      </c>
      <c r="AH47" s="184"/>
      <c r="AI47" s="184"/>
      <c r="AJ47" s="184">
        <v>8349795.3799999999</v>
      </c>
      <c r="AK47" s="184">
        <v>73512.94</v>
      </c>
      <c r="AL47" s="184">
        <v>29537.79</v>
      </c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v>453636.56</v>
      </c>
      <c r="AW47" s="184"/>
      <c r="AX47" s="184"/>
      <c r="AY47" s="184">
        <v>703332.62</v>
      </c>
      <c r="AZ47" s="184"/>
      <c r="BA47" s="184">
        <v>18724.900000000001</v>
      </c>
      <c r="BB47" s="184"/>
      <c r="BC47" s="184">
        <v>125422.05</v>
      </c>
      <c r="BD47" s="184"/>
      <c r="BE47" s="184">
        <v>139566.74</v>
      </c>
      <c r="BF47" s="184">
        <v>626150.66</v>
      </c>
      <c r="BG47" s="184"/>
      <c r="BH47" s="184"/>
      <c r="BI47" s="184"/>
      <c r="BJ47" s="184"/>
      <c r="BK47" s="184"/>
      <c r="BL47" s="184">
        <v>27182.76</v>
      </c>
      <c r="BM47" s="184"/>
      <c r="BN47" s="184">
        <v>155571.28</v>
      </c>
      <c r="BO47" s="184"/>
      <c r="BP47" s="184"/>
      <c r="BQ47" s="184"/>
      <c r="BR47" s="184">
        <v>480.1</v>
      </c>
      <c r="BS47" s="184"/>
      <c r="BT47" s="184"/>
      <c r="BU47" s="184"/>
      <c r="BV47" s="184"/>
      <c r="BW47" s="184"/>
      <c r="BX47" s="184"/>
      <c r="BY47" s="184">
        <v>627290.24</v>
      </c>
      <c r="BZ47" s="184">
        <v>36696.97</v>
      </c>
      <c r="CA47" s="184">
        <v>151272.82999999999</v>
      </c>
      <c r="CB47" s="184"/>
      <c r="CC47" s="184">
        <v>2283.39</v>
      </c>
      <c r="CD47" s="195"/>
      <c r="CE47" s="195">
        <f>SUM(C47:CC47)</f>
        <v>26972204.379999999</v>
      </c>
    </row>
    <row r="48" spans="1:83" ht="12.6" customHeight="1" x14ac:dyDescent="0.2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>
        <f>13605590.4-4075050.81</f>
        <v>9530539.5899999999</v>
      </c>
      <c r="C51" s="184">
        <v>180844.82</v>
      </c>
      <c r="D51" s="184"/>
      <c r="E51" s="184">
        <v>93738.18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4">
        <v>157161.87</v>
      </c>
      <c r="P51" s="184">
        <v>3983489.35</v>
      </c>
      <c r="Q51" s="184">
        <v>588.82000000000005</v>
      </c>
      <c r="R51" s="184"/>
      <c r="S51" s="184"/>
      <c r="T51" s="184">
        <v>7650.29</v>
      </c>
      <c r="U51" s="184">
        <v>59634.21</v>
      </c>
      <c r="V51" s="184">
        <v>79832.42</v>
      </c>
      <c r="W51" s="184"/>
      <c r="X51" s="184">
        <v>147400.94</v>
      </c>
      <c r="Y51" s="184">
        <v>418106.19</v>
      </c>
      <c r="Z51" s="184">
        <v>657055.35</v>
      </c>
      <c r="AA51" s="184">
        <v>3077.18</v>
      </c>
      <c r="AB51" s="184">
        <v>200785.99</v>
      </c>
      <c r="AC51" s="184">
        <v>12533.48</v>
      </c>
      <c r="AD51" s="184"/>
      <c r="AE51" s="184">
        <v>60976.800000000003</v>
      </c>
      <c r="AF51" s="184"/>
      <c r="AG51" s="184">
        <v>65066.9</v>
      </c>
      <c r="AH51" s="184"/>
      <c r="AI51" s="184"/>
      <c r="AJ51" s="184">
        <v>2058736.14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>
        <v>44012.37</v>
      </c>
      <c r="AZ51" s="184"/>
      <c r="BA51" s="184"/>
      <c r="BB51" s="184"/>
      <c r="BC51" s="184"/>
      <c r="BD51" s="184"/>
      <c r="BE51" s="184">
        <v>218157.06</v>
      </c>
      <c r="BF51" s="184">
        <v>492.86</v>
      </c>
      <c r="BG51" s="184"/>
      <c r="BH51" s="184"/>
      <c r="BI51" s="184"/>
      <c r="BJ51" s="184"/>
      <c r="BK51" s="184"/>
      <c r="BL51" s="184">
        <v>983.33</v>
      </c>
      <c r="BM51" s="184"/>
      <c r="BN51" s="184">
        <v>150.47999999999999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>
        <v>33091.01</v>
      </c>
      <c r="BZ51" s="184"/>
      <c r="CA51" s="184"/>
      <c r="CB51" s="184"/>
      <c r="CC51" s="184">
        <v>1046973.55</v>
      </c>
      <c r="CD51" s="195"/>
      <c r="CE51" s="195">
        <f>SUM(C51:CD51)</f>
        <v>9530539.5900000017</v>
      </c>
    </row>
    <row r="52" spans="1:84" ht="12.6" customHeight="1" x14ac:dyDescent="0.2">
      <c r="A52" s="171" t="s">
        <v>208</v>
      </c>
      <c r="B52" s="184">
        <v>4075050.81</v>
      </c>
      <c r="C52" s="195">
        <f>ROUND((B52/(CE76+CF76)*C76),0)</f>
        <v>174642</v>
      </c>
      <c r="D52" s="195">
        <f>ROUND((B52/(CE76+CF76)*D76),0)</f>
        <v>0</v>
      </c>
      <c r="E52" s="195">
        <f>ROUND((B52/(CE76+CF76)*E76),0)</f>
        <v>768702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66858</v>
      </c>
      <c r="P52" s="195">
        <f>ROUND((B52/(CE76+CF76)*P76),0)</f>
        <v>370438</v>
      </c>
      <c r="Q52" s="195">
        <f>ROUND((B52/(CE76+CF76)*Q76),0)</f>
        <v>19457</v>
      </c>
      <c r="R52" s="195">
        <f>ROUND((B52/(CE76+CF76)*R76),0)</f>
        <v>0</v>
      </c>
      <c r="S52" s="195">
        <f>ROUND((B52/(CE76+CF76)*S76),0)</f>
        <v>87572</v>
      </c>
      <c r="T52" s="195">
        <f>ROUND((B52/(CE76+CF76)*T76),0)</f>
        <v>0</v>
      </c>
      <c r="U52" s="195">
        <f>ROUND((B52/(CE76+CF76)*U76),0)</f>
        <v>105473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12369</v>
      </c>
      <c r="Y52" s="195">
        <f>ROUND((B52/(CE76+CF76)*Y76),0)</f>
        <v>386594</v>
      </c>
      <c r="Z52" s="195">
        <f>ROUND((B52/(CE76+CF76)*Z76),0)</f>
        <v>0</v>
      </c>
      <c r="AA52" s="195">
        <f>ROUND((B52/(CE76+CF76)*AA76),0)</f>
        <v>12385</v>
      </c>
      <c r="AB52" s="195">
        <f>ROUND((B52/(CE76+CF76)*AB76),0)</f>
        <v>130525</v>
      </c>
      <c r="AC52" s="195">
        <f>ROUND((B52/(CE76+CF76)*AC76),0)</f>
        <v>18624</v>
      </c>
      <c r="AD52" s="195">
        <f>ROUND((B52/(CE76+CF76)*AD76),0)</f>
        <v>0</v>
      </c>
      <c r="AE52" s="195">
        <f>ROUND((B52/(CE76+CF76)*AE76),0)</f>
        <v>154920</v>
      </c>
      <c r="AF52" s="195">
        <f>ROUND((B52/(CE76+CF76)*AF76),0)</f>
        <v>0</v>
      </c>
      <c r="AG52" s="195">
        <f>ROUND((B52/(CE76+CF76)*AG76),0)</f>
        <v>159790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51833</v>
      </c>
      <c r="AL52" s="195">
        <f>ROUND((B52/(CE76+CF76)*AL76),0)</f>
        <v>10844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12620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89710</v>
      </c>
      <c r="BA52" s="195">
        <f>ROUND((B52/(CE76+CF76)*BA76),0)</f>
        <v>33932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949072</v>
      </c>
      <c r="BF52" s="195">
        <f>ROUND((B52/(CE76+CF76)*BF76),0)</f>
        <v>9823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7607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377573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40391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23292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4075046</v>
      </c>
    </row>
    <row r="53" spans="1:84" ht="12.6" customHeight="1" x14ac:dyDescent="0.2">
      <c r="A53" s="175" t="s">
        <v>206</v>
      </c>
      <c r="B53" s="195">
        <f>B51+B52</f>
        <v>13605590.4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>
        <v>4166</v>
      </c>
      <c r="D59" s="184"/>
      <c r="E59" s="184">
        <f>-2803+28829-272</f>
        <v>25754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>
        <v>5191</v>
      </c>
      <c r="P59" s="185">
        <v>595187</v>
      </c>
      <c r="Q59" s="185">
        <v>17580</v>
      </c>
      <c r="R59" s="185"/>
      <c r="S59" s="248"/>
      <c r="T59" s="248"/>
      <c r="U59" s="224">
        <v>462930</v>
      </c>
      <c r="V59" s="185"/>
      <c r="W59" s="185"/>
      <c r="X59" s="185">
        <v>20862</v>
      </c>
      <c r="Y59" s="185">
        <v>159643</v>
      </c>
      <c r="Z59" s="185"/>
      <c r="AA59" s="185">
        <v>1610</v>
      </c>
      <c r="AB59" s="248"/>
      <c r="AC59" s="185">
        <v>38416</v>
      </c>
      <c r="AD59" s="185"/>
      <c r="AE59" s="185">
        <v>74518</v>
      </c>
      <c r="AF59" s="185"/>
      <c r="AG59" s="185">
        <v>46516</v>
      </c>
      <c r="AH59" s="185"/>
      <c r="AI59" s="185"/>
      <c r="AJ59" s="185">
        <f>254335.76+29739</f>
        <v>284074.76</v>
      </c>
      <c r="AK59" s="185">
        <v>11189</v>
      </c>
      <c r="AL59" s="185">
        <v>2188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112544</v>
      </c>
      <c r="AZ59" s="185">
        <v>175864</v>
      </c>
      <c r="BA59" s="248"/>
      <c r="BB59" s="248"/>
      <c r="BC59" s="248"/>
      <c r="BD59" s="248"/>
      <c r="BE59" s="185">
        <v>259285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>
        <v>42.51</v>
      </c>
      <c r="D60" s="187"/>
      <c r="E60" s="187">
        <v>211.25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53.18</v>
      </c>
      <c r="P60" s="221">
        <v>95.64</v>
      </c>
      <c r="Q60" s="221">
        <v>26.25</v>
      </c>
      <c r="R60" s="221"/>
      <c r="S60" s="221">
        <v>15.61</v>
      </c>
      <c r="T60" s="221">
        <v>2.62</v>
      </c>
      <c r="U60" s="221">
        <v>25.75</v>
      </c>
      <c r="V60" s="221">
        <v>5.0999999999999996</v>
      </c>
      <c r="W60" s="221">
        <v>3.25</v>
      </c>
      <c r="X60" s="221">
        <v>7.91</v>
      </c>
      <c r="Y60" s="221">
        <v>32.6</v>
      </c>
      <c r="Z60" s="221">
        <v>5.24</v>
      </c>
      <c r="AA60" s="221">
        <v>3.06</v>
      </c>
      <c r="AB60" s="221">
        <v>23.73</v>
      </c>
      <c r="AC60" s="221">
        <v>12.32</v>
      </c>
      <c r="AD60" s="221"/>
      <c r="AE60" s="221">
        <v>19.05</v>
      </c>
      <c r="AF60" s="221"/>
      <c r="AG60" s="221">
        <v>64.88</v>
      </c>
      <c r="AH60" s="221"/>
      <c r="AI60" s="221"/>
      <c r="AJ60" s="221">
        <f>63.25+327.49</f>
        <v>390.74</v>
      </c>
      <c r="AK60" s="221">
        <v>2.91</v>
      </c>
      <c r="AL60" s="221">
        <v>1.22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19.95</v>
      </c>
      <c r="AW60" s="221"/>
      <c r="AX60" s="221"/>
      <c r="AY60" s="221">
        <v>38.340000000000003</v>
      </c>
      <c r="AZ60" s="221"/>
      <c r="BA60" s="221">
        <v>1.02</v>
      </c>
      <c r="BB60" s="221"/>
      <c r="BC60" s="221">
        <v>6.7</v>
      </c>
      <c r="BD60" s="221"/>
      <c r="BE60" s="221">
        <v>6.71</v>
      </c>
      <c r="BF60" s="221">
        <v>34.33</v>
      </c>
      <c r="BG60" s="221"/>
      <c r="BH60" s="221"/>
      <c r="BI60" s="221"/>
      <c r="BJ60" s="221"/>
      <c r="BK60" s="221"/>
      <c r="BL60" s="221">
        <v>1.84</v>
      </c>
      <c r="BM60" s="221"/>
      <c r="BN60" s="221">
        <v>5.43</v>
      </c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>
        <v>25.78</v>
      </c>
      <c r="BZ60" s="221">
        <v>1.9</v>
      </c>
      <c r="CA60" s="221">
        <v>5.46</v>
      </c>
      <c r="CB60" s="221"/>
      <c r="CC60" s="221">
        <v>0.09</v>
      </c>
      <c r="CD60" s="249" t="s">
        <v>221</v>
      </c>
      <c r="CE60" s="251">
        <f t="shared" ref="CE60:CE70" si="0">SUM(C60:CD60)</f>
        <v>1192.3700000000001</v>
      </c>
    </row>
    <row r="61" spans="1:84" ht="12.6" customHeight="1" x14ac:dyDescent="0.2">
      <c r="A61" s="171" t="s">
        <v>235</v>
      </c>
      <c r="B61" s="175"/>
      <c r="C61" s="184">
        <f>4403202.05+290251.43</f>
        <v>4693453.4799999995</v>
      </c>
      <c r="D61" s="184"/>
      <c r="E61" s="184">
        <f>18056927.91+443555.1</f>
        <v>18500483.010000002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>
        <f>5683858.39+32147</f>
        <v>5716005.3899999997</v>
      </c>
      <c r="P61" s="185">
        <f>8046645.21+1034506.06</f>
        <v>9081151.2699999996</v>
      </c>
      <c r="Q61" s="185">
        <f>2830776.51+375903.97</f>
        <v>3206680.4799999995</v>
      </c>
      <c r="R61" s="185"/>
      <c r="S61" s="185">
        <v>791584.64</v>
      </c>
      <c r="T61" s="185">
        <v>314116.75</v>
      </c>
      <c r="U61" s="185">
        <f>1841273.92+25197</f>
        <v>1866470.92</v>
      </c>
      <c r="V61" s="185">
        <f>539707.11+1227.8</f>
        <v>540934.91</v>
      </c>
      <c r="W61" s="185">
        <f>483779.45+40703.73</f>
        <v>524483.18000000005</v>
      </c>
      <c r="X61" s="185">
        <v>840117.04</v>
      </c>
      <c r="Y61" s="185">
        <v>2879981.13</v>
      </c>
      <c r="Z61" s="185">
        <v>624684.48</v>
      </c>
      <c r="AA61" s="185">
        <v>331589.71000000002</v>
      </c>
      <c r="AB61" s="185">
        <v>2719609.32</v>
      </c>
      <c r="AC61" s="185">
        <v>1196541</v>
      </c>
      <c r="AD61" s="185"/>
      <c r="AE61" s="185">
        <v>1860778.27</v>
      </c>
      <c r="AF61" s="185"/>
      <c r="AG61" s="185">
        <f>5279037.89+693990.99</f>
        <v>5973028.8799999999</v>
      </c>
      <c r="AH61" s="185"/>
      <c r="AI61" s="185"/>
      <c r="AJ61" s="185">
        <f>45058071.12+432944.22</f>
        <v>45491015.339999996</v>
      </c>
      <c r="AK61" s="185">
        <v>279158.75</v>
      </c>
      <c r="AL61" s="185">
        <v>111256.1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f>1612089.49+30874.7</f>
        <v>1642964.19</v>
      </c>
      <c r="AW61" s="185"/>
      <c r="AX61" s="185"/>
      <c r="AY61" s="185">
        <v>1762923.46</v>
      </c>
      <c r="AZ61" s="185"/>
      <c r="BA61" s="185">
        <v>44808.78</v>
      </c>
      <c r="BB61" s="185"/>
      <c r="BC61" s="185">
        <v>328064.21000000002</v>
      </c>
      <c r="BD61" s="185"/>
      <c r="BE61" s="185">
        <v>442967.07</v>
      </c>
      <c r="BF61" s="185">
        <f>1542407.4+159330.25</f>
        <v>1701737.65</v>
      </c>
      <c r="BG61" s="185"/>
      <c r="BH61" s="185"/>
      <c r="BI61" s="185"/>
      <c r="BJ61" s="185"/>
      <c r="BK61" s="185"/>
      <c r="BL61" s="185">
        <v>78912</v>
      </c>
      <c r="BM61" s="185"/>
      <c r="BN61" s="185">
        <v>787030.36</v>
      </c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>
        <v>2364622.04</v>
      </c>
      <c r="BZ61" s="185">
        <v>102127.27</v>
      </c>
      <c r="CA61" s="185">
        <v>658864.14</v>
      </c>
      <c r="CB61" s="185"/>
      <c r="CC61" s="185">
        <f>9388.24+1084527</f>
        <v>1093915.24</v>
      </c>
      <c r="CD61" s="249" t="s">
        <v>221</v>
      </c>
      <c r="CE61" s="195">
        <f t="shared" si="0"/>
        <v>118552060.45999998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1073457</v>
      </c>
      <c r="D62" s="195">
        <f t="shared" si="1"/>
        <v>0</v>
      </c>
      <c r="E62" s="195">
        <f t="shared" si="1"/>
        <v>4902208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1370100</v>
      </c>
      <c r="P62" s="195">
        <f t="shared" si="1"/>
        <v>2202173</v>
      </c>
      <c r="Q62" s="195">
        <f t="shared" si="1"/>
        <v>682056</v>
      </c>
      <c r="R62" s="195">
        <f t="shared" si="1"/>
        <v>0</v>
      </c>
      <c r="S62" s="195">
        <f t="shared" si="1"/>
        <v>294985</v>
      </c>
      <c r="T62" s="195">
        <f t="shared" si="1"/>
        <v>71976</v>
      </c>
      <c r="U62" s="195">
        <f t="shared" si="1"/>
        <v>557127</v>
      </c>
      <c r="V62" s="195">
        <f t="shared" si="1"/>
        <v>131857</v>
      </c>
      <c r="W62" s="195">
        <f t="shared" si="1"/>
        <v>100790</v>
      </c>
      <c r="X62" s="195">
        <f t="shared" si="1"/>
        <v>204142</v>
      </c>
      <c r="Y62" s="195">
        <f t="shared" si="1"/>
        <v>767057</v>
      </c>
      <c r="Z62" s="195">
        <f t="shared" si="1"/>
        <v>143109</v>
      </c>
      <c r="AA62" s="195">
        <f t="shared" si="1"/>
        <v>79952</v>
      </c>
      <c r="AB62" s="195">
        <f t="shared" si="1"/>
        <v>627210</v>
      </c>
      <c r="AC62" s="195">
        <f t="shared" si="1"/>
        <v>302962</v>
      </c>
      <c r="AD62" s="195">
        <f t="shared" si="1"/>
        <v>0</v>
      </c>
      <c r="AE62" s="195">
        <f t="shared" si="1"/>
        <v>469792</v>
      </c>
      <c r="AF62" s="195">
        <f t="shared" si="1"/>
        <v>0</v>
      </c>
      <c r="AG62" s="195">
        <f t="shared" si="1"/>
        <v>1470794</v>
      </c>
      <c r="AH62" s="195">
        <f t="shared" si="1"/>
        <v>0</v>
      </c>
      <c r="AI62" s="195">
        <f t="shared" si="1"/>
        <v>0</v>
      </c>
      <c r="AJ62" s="195">
        <f t="shared" si="1"/>
        <v>8349795</v>
      </c>
      <c r="AK62" s="195">
        <f t="shared" si="1"/>
        <v>73513</v>
      </c>
      <c r="AL62" s="195">
        <f t="shared" si="1"/>
        <v>29538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453637</v>
      </c>
      <c r="AW62" s="195">
        <f t="shared" si="1"/>
        <v>0</v>
      </c>
      <c r="AX62" s="195">
        <f t="shared" si="1"/>
        <v>0</v>
      </c>
      <c r="AY62" s="195">
        <f>ROUND(AY47+AY48,0)</f>
        <v>703333</v>
      </c>
      <c r="AZ62" s="195">
        <f>ROUND(AZ47+AZ48,0)</f>
        <v>0</v>
      </c>
      <c r="BA62" s="195">
        <f>ROUND(BA47+BA48,0)</f>
        <v>18725</v>
      </c>
      <c r="BB62" s="195">
        <f t="shared" si="1"/>
        <v>0</v>
      </c>
      <c r="BC62" s="195">
        <f t="shared" si="1"/>
        <v>125422</v>
      </c>
      <c r="BD62" s="195">
        <f t="shared" si="1"/>
        <v>0</v>
      </c>
      <c r="BE62" s="195">
        <f t="shared" si="1"/>
        <v>139567</v>
      </c>
      <c r="BF62" s="195">
        <f t="shared" si="1"/>
        <v>626151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27183</v>
      </c>
      <c r="BM62" s="195">
        <f t="shared" si="1"/>
        <v>0</v>
      </c>
      <c r="BN62" s="195">
        <f t="shared" si="1"/>
        <v>155571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480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627290</v>
      </c>
      <c r="BZ62" s="195">
        <f t="shared" si="2"/>
        <v>36697</v>
      </c>
      <c r="CA62" s="195">
        <f t="shared" si="2"/>
        <v>151273</v>
      </c>
      <c r="CB62" s="195">
        <f t="shared" si="2"/>
        <v>0</v>
      </c>
      <c r="CC62" s="195">
        <f t="shared" si="2"/>
        <v>2283</v>
      </c>
      <c r="CD62" s="249" t="s">
        <v>221</v>
      </c>
      <c r="CE62" s="195">
        <f t="shared" si="0"/>
        <v>26972205</v>
      </c>
      <c r="CF62" s="252"/>
    </row>
    <row r="63" spans="1:84" ht="12.6" customHeight="1" x14ac:dyDescent="0.2">
      <c r="A63" s="171" t="s">
        <v>236</v>
      </c>
      <c r="B63" s="175"/>
      <c r="C63" s="184">
        <v>1731668.17</v>
      </c>
      <c r="D63" s="184"/>
      <c r="E63" s="184">
        <v>38750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>
        <v>723123.28</v>
      </c>
      <c r="P63" s="185">
        <v>4385255.3099999996</v>
      </c>
      <c r="Q63" s="185"/>
      <c r="R63" s="185"/>
      <c r="S63" s="185"/>
      <c r="T63" s="185"/>
      <c r="U63" s="185">
        <v>28426.99</v>
      </c>
      <c r="V63" s="185"/>
      <c r="W63" s="185"/>
      <c r="X63" s="185"/>
      <c r="Y63" s="185">
        <v>24216</v>
      </c>
      <c r="Z63" s="185">
        <v>10237.5</v>
      </c>
      <c r="AA63" s="185"/>
      <c r="AB63" s="185"/>
      <c r="AC63" s="185">
        <v>1725</v>
      </c>
      <c r="AD63" s="185"/>
      <c r="AE63" s="185"/>
      <c r="AF63" s="185"/>
      <c r="AG63" s="185">
        <v>1601150.54</v>
      </c>
      <c r="AH63" s="185"/>
      <c r="AI63" s="185"/>
      <c r="AJ63" s="185">
        <v>782246.78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42520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>
        <v>4123928.22</v>
      </c>
      <c r="CD63" s="249" t="s">
        <v>221</v>
      </c>
      <c r="CE63" s="195">
        <f t="shared" si="0"/>
        <v>13493247.789999999</v>
      </c>
      <c r="CF63" s="252"/>
    </row>
    <row r="64" spans="1:84" ht="12.6" customHeight="1" x14ac:dyDescent="0.2">
      <c r="A64" s="171" t="s">
        <v>237</v>
      </c>
      <c r="B64" s="175"/>
      <c r="C64" s="184">
        <v>586257.9</v>
      </c>
      <c r="D64" s="184"/>
      <c r="E64" s="185">
        <v>1195205.79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>
        <v>500424.93</v>
      </c>
      <c r="P64" s="185">
        <v>16644038.73</v>
      </c>
      <c r="Q64" s="185">
        <v>236213.48</v>
      </c>
      <c r="R64" s="185"/>
      <c r="S64" s="185">
        <v>-338617.26</v>
      </c>
      <c r="T64" s="185">
        <v>279866.68</v>
      </c>
      <c r="U64" s="185">
        <v>1576119.17</v>
      </c>
      <c r="V64" s="185">
        <v>89906.98</v>
      </c>
      <c r="W64" s="185">
        <v>29054.45</v>
      </c>
      <c r="X64" s="185">
        <v>195710.65</v>
      </c>
      <c r="Y64" s="185">
        <v>129072.96000000001</v>
      </c>
      <c r="Z64" s="185">
        <v>30202.01</v>
      </c>
      <c r="AA64" s="185">
        <v>248106.07</v>
      </c>
      <c r="AB64" s="185">
        <v>6868419.5099999998</v>
      </c>
      <c r="AC64" s="185">
        <v>208594.49</v>
      </c>
      <c r="AD64" s="185">
        <v>12481.38</v>
      </c>
      <c r="AE64" s="185">
        <v>17289.77</v>
      </c>
      <c r="AF64" s="185"/>
      <c r="AG64" s="185">
        <v>1352715.01</v>
      </c>
      <c r="AH64" s="185"/>
      <c r="AI64" s="185"/>
      <c r="AJ64" s="185">
        <v>3067269.14</v>
      </c>
      <c r="AK64" s="185">
        <v>2038.58</v>
      </c>
      <c r="AL64" s="185">
        <v>41.22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331586.18</v>
      </c>
      <c r="AW64" s="185"/>
      <c r="AX64" s="185"/>
      <c r="AY64" s="185">
        <v>1051893.24</v>
      </c>
      <c r="AZ64" s="185"/>
      <c r="BA64" s="185"/>
      <c r="BB64" s="185"/>
      <c r="BC64" s="185">
        <v>218.31</v>
      </c>
      <c r="BD64" s="185">
        <v>5706</v>
      </c>
      <c r="BE64" s="185">
        <v>51686.16</v>
      </c>
      <c r="BF64" s="185">
        <v>224756.73</v>
      </c>
      <c r="BG64" s="185"/>
      <c r="BH64" s="185"/>
      <c r="BI64" s="185">
        <v>49784.69</v>
      </c>
      <c r="BJ64" s="185"/>
      <c r="BK64" s="185"/>
      <c r="BL64" s="185">
        <v>33533.360000000001</v>
      </c>
      <c r="BM64" s="185"/>
      <c r="BN64" s="185">
        <v>119384.75</v>
      </c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>
        <v>16076.49</v>
      </c>
      <c r="BZ64" s="185">
        <v>79.680000000000007</v>
      </c>
      <c r="CA64" s="185"/>
      <c r="CB64" s="185"/>
      <c r="CC64" s="185">
        <f>-149488.18-79741.83</f>
        <v>-229230.01</v>
      </c>
      <c r="CD64" s="249" t="s">
        <v>221</v>
      </c>
      <c r="CE64" s="195">
        <f t="shared" si="0"/>
        <v>34585887.219999999</v>
      </c>
      <c r="CF64" s="252"/>
    </row>
    <row r="65" spans="1:84" ht="12.6" customHeight="1" x14ac:dyDescent="0.2">
      <c r="A65" s="171" t="s">
        <v>238</v>
      </c>
      <c r="B65" s="175"/>
      <c r="C65" s="184">
        <v>438.34</v>
      </c>
      <c r="D65" s="184"/>
      <c r="E65" s="184">
        <v>4735.83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>
        <v>1715</v>
      </c>
      <c r="P65" s="185">
        <v>19310.849999999999</v>
      </c>
      <c r="Q65" s="185">
        <v>1018.38</v>
      </c>
      <c r="R65" s="185"/>
      <c r="S65" s="185"/>
      <c r="T65" s="185"/>
      <c r="U65" s="185">
        <v>297.97000000000003</v>
      </c>
      <c r="V65" s="185">
        <v>381.37</v>
      </c>
      <c r="W65" s="185">
        <v>90.28</v>
      </c>
      <c r="X65" s="185"/>
      <c r="Y65" s="185">
        <v>4916.88</v>
      </c>
      <c r="Z65" s="185">
        <v>761.69</v>
      </c>
      <c r="AA65" s="185">
        <v>195.54</v>
      </c>
      <c r="AB65" s="185">
        <v>4844.57</v>
      </c>
      <c r="AC65" s="185">
        <v>483.48</v>
      </c>
      <c r="AD65" s="185"/>
      <c r="AE65" s="185">
        <v>4527.4799999999996</v>
      </c>
      <c r="AF65" s="185"/>
      <c r="AG65" s="185">
        <v>846.49</v>
      </c>
      <c r="AH65" s="185"/>
      <c r="AI65" s="185"/>
      <c r="AJ65" s="185">
        <v>175011.13</v>
      </c>
      <c r="AK65" s="185">
        <v>293.31</v>
      </c>
      <c r="AL65" s="185">
        <v>81.53</v>
      </c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1287.08</v>
      </c>
      <c r="AW65" s="185"/>
      <c r="AX65" s="185"/>
      <c r="AY65" s="185">
        <v>1640.34</v>
      </c>
      <c r="AZ65" s="185"/>
      <c r="BA65" s="185"/>
      <c r="BB65" s="185"/>
      <c r="BC65" s="185">
        <v>879.93</v>
      </c>
      <c r="BD65" s="185"/>
      <c r="BE65" s="185">
        <v>1205401.8799999999</v>
      </c>
      <c r="BF65" s="185">
        <v>383.96</v>
      </c>
      <c r="BG65" s="185"/>
      <c r="BH65" s="185"/>
      <c r="BI65" s="185"/>
      <c r="BJ65" s="185"/>
      <c r="BK65" s="185"/>
      <c r="BL65" s="185">
        <v>293.31</v>
      </c>
      <c r="BM65" s="185"/>
      <c r="BN65" s="185">
        <v>2459.56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>
        <v>1471.43</v>
      </c>
      <c r="BZ65" s="185"/>
      <c r="CA65" s="185">
        <v>31.01</v>
      </c>
      <c r="CB65" s="185"/>
      <c r="CC65" s="185"/>
      <c r="CD65" s="249" t="s">
        <v>221</v>
      </c>
      <c r="CE65" s="195">
        <f t="shared" si="0"/>
        <v>1433798.6199999999</v>
      </c>
      <c r="CF65" s="252"/>
    </row>
    <row r="66" spans="1:84" ht="12.6" customHeight="1" x14ac:dyDescent="0.2">
      <c r="A66" s="171" t="s">
        <v>239</v>
      </c>
      <c r="B66" s="175"/>
      <c r="C66" s="184">
        <v>34328.69</v>
      </c>
      <c r="D66" s="184"/>
      <c r="E66" s="184">
        <v>311096.39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>
        <v>318246.19</v>
      </c>
      <c r="P66" s="185">
        <v>2373980.25</v>
      </c>
      <c r="Q66" s="185">
        <v>41293.32</v>
      </c>
      <c r="R66" s="185"/>
      <c r="S66" s="184">
        <v>60806.66</v>
      </c>
      <c r="T66" s="184"/>
      <c r="U66" s="185">
        <v>1717566.03</v>
      </c>
      <c r="V66" s="185">
        <v>64923.81</v>
      </c>
      <c r="W66" s="185">
        <v>110029.34</v>
      </c>
      <c r="X66" s="185">
        <v>64276.5</v>
      </c>
      <c r="Y66" s="185">
        <v>1199915.47</v>
      </c>
      <c r="Z66" s="185">
        <v>2043665.6</v>
      </c>
      <c r="AA66" s="185">
        <v>500946.75</v>
      </c>
      <c r="AB66" s="185">
        <v>419545.42</v>
      </c>
      <c r="AC66" s="185">
        <v>10684.76</v>
      </c>
      <c r="AD66" s="185">
        <v>693328.28</v>
      </c>
      <c r="AE66" s="185">
        <v>374922.35</v>
      </c>
      <c r="AF66" s="185"/>
      <c r="AG66" s="185">
        <v>1690266.07</v>
      </c>
      <c r="AH66" s="185"/>
      <c r="AI66" s="185"/>
      <c r="AJ66" s="185">
        <v>4999790.68</v>
      </c>
      <c r="AK66" s="185">
        <v>2280.5</v>
      </c>
      <c r="AL66" s="185">
        <v>944</v>
      </c>
      <c r="AM66" s="185"/>
      <c r="AN66" s="185"/>
      <c r="AO66" s="185"/>
      <c r="AP66" s="185"/>
      <c r="AQ66" s="185"/>
      <c r="AR66" s="185">
        <v>60232.07</v>
      </c>
      <c r="AS66" s="185"/>
      <c r="AT66" s="185"/>
      <c r="AU66" s="185"/>
      <c r="AV66" s="185">
        <v>76038.84</v>
      </c>
      <c r="AW66" s="185"/>
      <c r="AX66" s="185"/>
      <c r="AY66" s="185">
        <v>671713.34</v>
      </c>
      <c r="AZ66" s="185"/>
      <c r="BA66" s="185">
        <v>-1000.02</v>
      </c>
      <c r="BB66" s="185"/>
      <c r="BC66" s="185"/>
      <c r="BD66" s="185"/>
      <c r="BE66" s="185">
        <v>4181133.99</v>
      </c>
      <c r="BF66" s="185">
        <v>275773.84000000003</v>
      </c>
      <c r="BG66" s="185"/>
      <c r="BH66" s="185"/>
      <c r="BI66" s="185">
        <v>655.69</v>
      </c>
      <c r="BJ66" s="185"/>
      <c r="BK66" s="185">
        <v>15045.31</v>
      </c>
      <c r="BL66" s="185">
        <v>8746619.5099999998</v>
      </c>
      <c r="BM66" s="185"/>
      <c r="BN66" s="185">
        <v>283393.94</v>
      </c>
      <c r="BO66" s="185"/>
      <c r="BP66" s="185"/>
      <c r="BQ66" s="185"/>
      <c r="BR66" s="185"/>
      <c r="BS66" s="185"/>
      <c r="BT66" s="185"/>
      <c r="BU66" s="185"/>
      <c r="BV66" s="185">
        <v>1093038.5</v>
      </c>
      <c r="BW66" s="185">
        <v>112578.52</v>
      </c>
      <c r="BX66" s="185">
        <v>3179802.33</v>
      </c>
      <c r="BY66" s="185">
        <v>162726.73000000001</v>
      </c>
      <c r="BZ66" s="185"/>
      <c r="CA66" s="185"/>
      <c r="CB66" s="185"/>
      <c r="CC66" s="185">
        <f>16657509.42+12612229.59</f>
        <v>29269739.009999998</v>
      </c>
      <c r="CD66" s="249" t="s">
        <v>221</v>
      </c>
      <c r="CE66" s="195">
        <f t="shared" si="0"/>
        <v>65160328.659999996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355487</v>
      </c>
      <c r="D67" s="195">
        <f>ROUND(D51+D52,0)</f>
        <v>0</v>
      </c>
      <c r="E67" s="195">
        <f t="shared" ref="E67:BP67" si="3">ROUND(E51+E52,0)</f>
        <v>862440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224020</v>
      </c>
      <c r="P67" s="195">
        <f t="shared" si="3"/>
        <v>4353927</v>
      </c>
      <c r="Q67" s="195">
        <f t="shared" si="3"/>
        <v>20046</v>
      </c>
      <c r="R67" s="195">
        <f t="shared" si="3"/>
        <v>0</v>
      </c>
      <c r="S67" s="195">
        <f t="shared" si="3"/>
        <v>87572</v>
      </c>
      <c r="T67" s="195">
        <f t="shared" si="3"/>
        <v>7650</v>
      </c>
      <c r="U67" s="195">
        <f t="shared" si="3"/>
        <v>165107</v>
      </c>
      <c r="V67" s="195">
        <f t="shared" si="3"/>
        <v>79832</v>
      </c>
      <c r="W67" s="195">
        <f t="shared" si="3"/>
        <v>0</v>
      </c>
      <c r="X67" s="195">
        <f t="shared" si="3"/>
        <v>159770</v>
      </c>
      <c r="Y67" s="195">
        <f t="shared" si="3"/>
        <v>804700</v>
      </c>
      <c r="Z67" s="195">
        <f t="shared" si="3"/>
        <v>657055</v>
      </c>
      <c r="AA67" s="195">
        <f t="shared" si="3"/>
        <v>15462</v>
      </c>
      <c r="AB67" s="195">
        <f t="shared" si="3"/>
        <v>331311</v>
      </c>
      <c r="AC67" s="195">
        <f t="shared" si="3"/>
        <v>31157</v>
      </c>
      <c r="AD67" s="195">
        <f t="shared" si="3"/>
        <v>0</v>
      </c>
      <c r="AE67" s="195">
        <f t="shared" si="3"/>
        <v>215897</v>
      </c>
      <c r="AF67" s="195">
        <f t="shared" si="3"/>
        <v>0</v>
      </c>
      <c r="AG67" s="195">
        <f t="shared" si="3"/>
        <v>224857</v>
      </c>
      <c r="AH67" s="195">
        <f t="shared" si="3"/>
        <v>0</v>
      </c>
      <c r="AI67" s="195">
        <f t="shared" si="3"/>
        <v>0</v>
      </c>
      <c r="AJ67" s="195">
        <f t="shared" si="3"/>
        <v>2058736</v>
      </c>
      <c r="AK67" s="195">
        <f t="shared" si="3"/>
        <v>51833</v>
      </c>
      <c r="AL67" s="195">
        <f t="shared" si="3"/>
        <v>10844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12620</v>
      </c>
      <c r="AW67" s="195">
        <f t="shared" si="3"/>
        <v>0</v>
      </c>
      <c r="AX67" s="195">
        <f t="shared" si="3"/>
        <v>0</v>
      </c>
      <c r="AY67" s="195">
        <f t="shared" si="3"/>
        <v>44012</v>
      </c>
      <c r="AZ67" s="195">
        <f>ROUND(AZ51+AZ52,0)</f>
        <v>89710</v>
      </c>
      <c r="BA67" s="195">
        <f>ROUND(BA51+BA52,0)</f>
        <v>33932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1167229</v>
      </c>
      <c r="BF67" s="195">
        <f t="shared" si="3"/>
        <v>10316</v>
      </c>
      <c r="BG67" s="195">
        <f t="shared" si="3"/>
        <v>0</v>
      </c>
      <c r="BH67" s="195">
        <f t="shared" si="3"/>
        <v>0</v>
      </c>
      <c r="BI67" s="195">
        <f t="shared" si="3"/>
        <v>7607</v>
      </c>
      <c r="BJ67" s="195">
        <f t="shared" si="3"/>
        <v>0</v>
      </c>
      <c r="BK67" s="195">
        <f t="shared" si="3"/>
        <v>0</v>
      </c>
      <c r="BL67" s="195">
        <f t="shared" si="3"/>
        <v>983</v>
      </c>
      <c r="BM67" s="195">
        <f t="shared" si="3"/>
        <v>0</v>
      </c>
      <c r="BN67" s="195">
        <f t="shared" si="3"/>
        <v>377723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40391</v>
      </c>
      <c r="BW67" s="195">
        <f t="shared" si="4"/>
        <v>0</v>
      </c>
      <c r="BX67" s="195">
        <f t="shared" si="4"/>
        <v>0</v>
      </c>
      <c r="BY67" s="195">
        <f t="shared" si="4"/>
        <v>56383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1046974</v>
      </c>
      <c r="CD67" s="249" t="s">
        <v>221</v>
      </c>
      <c r="CE67" s="195">
        <f t="shared" si="0"/>
        <v>13605583</v>
      </c>
      <c r="CF67" s="252"/>
    </row>
    <row r="68" spans="1:84" ht="12.6" customHeight="1" x14ac:dyDescent="0.2">
      <c r="A68" s="171" t="s">
        <v>240</v>
      </c>
      <c r="B68" s="175"/>
      <c r="C68" s="184">
        <v>4554.37</v>
      </c>
      <c r="D68" s="184"/>
      <c r="E68" s="184">
        <v>25385.57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>
        <v>5578.21</v>
      </c>
      <c r="P68" s="185">
        <v>758747.18</v>
      </c>
      <c r="Q68" s="185">
        <v>1766.72</v>
      </c>
      <c r="R68" s="185"/>
      <c r="S68" s="185">
        <v>50342.02</v>
      </c>
      <c r="T68" s="185"/>
      <c r="U68" s="185">
        <v>101679.33</v>
      </c>
      <c r="V68" s="185">
        <v>57143.58</v>
      </c>
      <c r="W68" s="185">
        <v>261.63</v>
      </c>
      <c r="X68" s="185">
        <v>249.26</v>
      </c>
      <c r="Y68" s="185">
        <v>242194.96</v>
      </c>
      <c r="Z68" s="185">
        <v>3113.99</v>
      </c>
      <c r="AA68" s="185">
        <v>398.52</v>
      </c>
      <c r="AB68" s="185">
        <v>70777.75</v>
      </c>
      <c r="AC68" s="185">
        <v>3120.74</v>
      </c>
      <c r="AD68" s="185"/>
      <c r="AE68" s="185">
        <v>150853.09</v>
      </c>
      <c r="AF68" s="185"/>
      <c r="AG68" s="185">
        <v>22214.15</v>
      </c>
      <c r="AH68" s="185"/>
      <c r="AI68" s="185"/>
      <c r="AJ68" s="185">
        <v>4788445.28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61551.72</v>
      </c>
      <c r="AW68" s="185"/>
      <c r="AX68" s="185"/>
      <c r="AY68" s="185">
        <v>31859.29</v>
      </c>
      <c r="AZ68" s="185"/>
      <c r="BA68" s="185"/>
      <c r="BB68" s="185"/>
      <c r="BC68" s="185"/>
      <c r="BD68" s="185">
        <v>359767.71</v>
      </c>
      <c r="BE68" s="185">
        <v>9961.83</v>
      </c>
      <c r="BF68" s="185">
        <v>1026.77</v>
      </c>
      <c r="BG68" s="185"/>
      <c r="BH68" s="185"/>
      <c r="BI68" s="185"/>
      <c r="BJ68" s="185"/>
      <c r="BK68" s="185"/>
      <c r="BL68" s="185">
        <v>7505.4</v>
      </c>
      <c r="BM68" s="185"/>
      <c r="BN68" s="185">
        <v>219523.55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>
        <v>12521.86</v>
      </c>
      <c r="BZ68" s="185"/>
      <c r="CA68" s="185"/>
      <c r="CB68" s="185"/>
      <c r="CC68" s="185">
        <f>-947814.77+1383608.76</f>
        <v>435793.99</v>
      </c>
      <c r="CD68" s="249" t="s">
        <v>221</v>
      </c>
      <c r="CE68" s="195">
        <f t="shared" si="0"/>
        <v>7426338.4700000007</v>
      </c>
      <c r="CF68" s="252"/>
    </row>
    <row r="69" spans="1:84" ht="12.6" customHeight="1" x14ac:dyDescent="0.2">
      <c r="A69" s="171" t="s">
        <v>241</v>
      </c>
      <c r="B69" s="175"/>
      <c r="C69" s="184">
        <v>15028.7</v>
      </c>
      <c r="D69" s="184"/>
      <c r="E69" s="185">
        <v>52688.82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>
        <v>46310</v>
      </c>
      <c r="P69" s="185">
        <v>74248.58</v>
      </c>
      <c r="Q69" s="185">
        <v>10183.879999999999</v>
      </c>
      <c r="R69" s="224"/>
      <c r="S69" s="185">
        <v>11764.2</v>
      </c>
      <c r="T69" s="184">
        <v>385</v>
      </c>
      <c r="U69" s="185">
        <v>49269.23</v>
      </c>
      <c r="V69" s="185">
        <v>698.62</v>
      </c>
      <c r="W69" s="184">
        <v>160</v>
      </c>
      <c r="X69" s="185">
        <v>402</v>
      </c>
      <c r="Y69" s="185">
        <v>7193.86</v>
      </c>
      <c r="Z69" s="185">
        <v>1573.84</v>
      </c>
      <c r="AA69" s="185">
        <v>569.70000000000005</v>
      </c>
      <c r="AB69" s="185">
        <v>1176539.6000000001</v>
      </c>
      <c r="AC69" s="185">
        <v>2852.81</v>
      </c>
      <c r="AD69" s="185"/>
      <c r="AE69" s="185">
        <v>6159.67</v>
      </c>
      <c r="AF69" s="185"/>
      <c r="AG69" s="185">
        <v>100282.56</v>
      </c>
      <c r="AH69" s="185"/>
      <c r="AI69" s="185"/>
      <c r="AJ69" s="185">
        <v>2057395.48</v>
      </c>
      <c r="AK69" s="185">
        <v>175</v>
      </c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f>90834.14-1722209.96</f>
        <v>-1631375.82</v>
      </c>
      <c r="AW69" s="185"/>
      <c r="AX69" s="185"/>
      <c r="AY69" s="185">
        <v>21052.43</v>
      </c>
      <c r="AZ69" s="185"/>
      <c r="BA69" s="185"/>
      <c r="BB69" s="185"/>
      <c r="BC69" s="185">
        <v>779.65</v>
      </c>
      <c r="BD69" s="185"/>
      <c r="BE69" s="185">
        <v>20354.45</v>
      </c>
      <c r="BF69" s="185">
        <v>1583.04</v>
      </c>
      <c r="BG69" s="185"/>
      <c r="BH69" s="224"/>
      <c r="BI69" s="185">
        <v>762.32</v>
      </c>
      <c r="BJ69" s="185"/>
      <c r="BK69" s="185"/>
      <c r="BL69" s="185">
        <v>944.59</v>
      </c>
      <c r="BM69" s="185"/>
      <c r="BN69" s="185">
        <v>341397.69</v>
      </c>
      <c r="BO69" s="185"/>
      <c r="BP69" s="185"/>
      <c r="BQ69" s="185"/>
      <c r="BR69" s="185">
        <v>573622.87</v>
      </c>
      <c r="BS69" s="185"/>
      <c r="BT69" s="185"/>
      <c r="BU69" s="185"/>
      <c r="BV69" s="185"/>
      <c r="BW69" s="185"/>
      <c r="BX69" s="185"/>
      <c r="BY69" s="185">
        <v>102460.4</v>
      </c>
      <c r="BZ69" s="185"/>
      <c r="CA69" s="185">
        <v>228.89</v>
      </c>
      <c r="CB69" s="185"/>
      <c r="CC69" s="185">
        <v>50416.35</v>
      </c>
      <c r="CD69" s="188">
        <f>1723209.96+10268855.23</f>
        <v>11992065.190000001</v>
      </c>
      <c r="CE69" s="195">
        <f t="shared" si="0"/>
        <v>15088173.600000001</v>
      </c>
      <c r="CF69" s="252"/>
    </row>
    <row r="70" spans="1:84" ht="12.6" customHeight="1" x14ac:dyDescent="0.2">
      <c r="A70" s="171" t="s">
        <v>242</v>
      </c>
      <c r="B70" s="175"/>
      <c r="C70" s="184"/>
      <c r="D70" s="184"/>
      <c r="E70" s="184">
        <v>4000</v>
      </c>
      <c r="F70" s="185"/>
      <c r="G70" s="184"/>
      <c r="H70" s="184"/>
      <c r="I70" s="184"/>
      <c r="J70" s="185"/>
      <c r="K70" s="185"/>
      <c r="L70" s="185"/>
      <c r="M70" s="184"/>
      <c r="N70" s="184"/>
      <c r="O70" s="184">
        <v>4399.74</v>
      </c>
      <c r="P70" s="184">
        <v>68621</v>
      </c>
      <c r="Q70" s="184"/>
      <c r="R70" s="184"/>
      <c r="S70" s="184">
        <v>1800</v>
      </c>
      <c r="T70" s="184"/>
      <c r="U70" s="185">
        <v>123702.26</v>
      </c>
      <c r="V70" s="184"/>
      <c r="W70" s="184"/>
      <c r="X70" s="185"/>
      <c r="Y70" s="185">
        <v>6132.5</v>
      </c>
      <c r="Z70" s="185"/>
      <c r="AA70" s="185"/>
      <c r="AB70" s="185">
        <v>2172316.79</v>
      </c>
      <c r="AC70" s="185"/>
      <c r="AD70" s="185">
        <v>13463.42</v>
      </c>
      <c r="AE70" s="185">
        <v>1360</v>
      </c>
      <c r="AF70" s="185"/>
      <c r="AG70" s="185">
        <v>3000</v>
      </c>
      <c r="AH70" s="185"/>
      <c r="AI70" s="185"/>
      <c r="AJ70" s="185">
        <f>1000+2659571.66</f>
        <v>2660571.66</v>
      </c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v>2975</v>
      </c>
      <c r="AW70" s="185"/>
      <c r="AX70" s="185"/>
      <c r="AY70" s="185">
        <v>1118571.22</v>
      </c>
      <c r="AZ70" s="185"/>
      <c r="BA70" s="185"/>
      <c r="BB70" s="185"/>
      <c r="BC70" s="185"/>
      <c r="BD70" s="185"/>
      <c r="BE70" s="185">
        <v>26022.81</v>
      </c>
      <c r="BF70" s="185"/>
      <c r="BG70" s="185"/>
      <c r="BH70" s="185"/>
      <c r="BI70" s="185">
        <v>71324.81</v>
      </c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>
        <v>3130.85</v>
      </c>
      <c r="CD70" s="188">
        <v>5825865.2400000002</v>
      </c>
      <c r="CE70" s="195">
        <f t="shared" si="0"/>
        <v>12107257.299999999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8494673.6499999985</v>
      </c>
      <c r="D71" s="195">
        <f t="shared" ref="D71:AI71" si="5">SUM(D61:D69)-D70</f>
        <v>0</v>
      </c>
      <c r="E71" s="195">
        <f t="shared" si="5"/>
        <v>25888993.41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8901123.2599999998</v>
      </c>
      <c r="P71" s="195">
        <f t="shared" si="5"/>
        <v>39824211.169999994</v>
      </c>
      <c r="Q71" s="195">
        <f t="shared" si="5"/>
        <v>4199258.26</v>
      </c>
      <c r="R71" s="195">
        <f t="shared" si="5"/>
        <v>0</v>
      </c>
      <c r="S71" s="195">
        <f t="shared" si="5"/>
        <v>956637.26000000013</v>
      </c>
      <c r="T71" s="195">
        <f t="shared" si="5"/>
        <v>673994.42999999993</v>
      </c>
      <c r="U71" s="195">
        <f t="shared" si="5"/>
        <v>5938361.3800000008</v>
      </c>
      <c r="V71" s="195">
        <f t="shared" si="5"/>
        <v>965678.27</v>
      </c>
      <c r="W71" s="195">
        <f t="shared" si="5"/>
        <v>764868.88</v>
      </c>
      <c r="X71" s="195">
        <f t="shared" si="5"/>
        <v>1464667.45</v>
      </c>
      <c r="Y71" s="195">
        <f t="shared" si="5"/>
        <v>6053115.7599999998</v>
      </c>
      <c r="Z71" s="195">
        <f t="shared" si="5"/>
        <v>3514403.1100000003</v>
      </c>
      <c r="AA71" s="195">
        <f t="shared" si="5"/>
        <v>1177220.29</v>
      </c>
      <c r="AB71" s="195">
        <f t="shared" si="5"/>
        <v>10045940.379999999</v>
      </c>
      <c r="AC71" s="195">
        <f t="shared" si="5"/>
        <v>1758121.28</v>
      </c>
      <c r="AD71" s="195">
        <f t="shared" si="5"/>
        <v>692346.24</v>
      </c>
      <c r="AE71" s="195">
        <f t="shared" si="5"/>
        <v>3098859.63</v>
      </c>
      <c r="AF71" s="195">
        <f t="shared" si="5"/>
        <v>0</v>
      </c>
      <c r="AG71" s="195">
        <f t="shared" si="5"/>
        <v>12433154.700000001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69109133.170000002</v>
      </c>
      <c r="AK71" s="195">
        <f t="shared" si="6"/>
        <v>409292.14</v>
      </c>
      <c r="AL71" s="195">
        <f t="shared" si="6"/>
        <v>152704.85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60232.07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987854.19000000018</v>
      </c>
      <c r="AW71" s="195">
        <f t="shared" si="6"/>
        <v>0</v>
      </c>
      <c r="AX71" s="195">
        <f t="shared" si="6"/>
        <v>0</v>
      </c>
      <c r="AY71" s="195">
        <f t="shared" si="6"/>
        <v>3169855.88</v>
      </c>
      <c r="AZ71" s="195">
        <f t="shared" si="6"/>
        <v>89710</v>
      </c>
      <c r="BA71" s="195">
        <f t="shared" si="6"/>
        <v>96465.760000000009</v>
      </c>
      <c r="BB71" s="195">
        <f t="shared" si="6"/>
        <v>0</v>
      </c>
      <c r="BC71" s="195">
        <f t="shared" si="6"/>
        <v>455364.10000000003</v>
      </c>
      <c r="BD71" s="195">
        <f t="shared" si="6"/>
        <v>365473.71</v>
      </c>
      <c r="BE71" s="195">
        <f t="shared" si="6"/>
        <v>7192278.5700000003</v>
      </c>
      <c r="BF71" s="195">
        <f t="shared" si="6"/>
        <v>2841728.9899999998</v>
      </c>
      <c r="BG71" s="195">
        <f t="shared" si="6"/>
        <v>0</v>
      </c>
      <c r="BH71" s="195">
        <f t="shared" si="6"/>
        <v>0</v>
      </c>
      <c r="BI71" s="195">
        <f t="shared" si="6"/>
        <v>-12515.109999999993</v>
      </c>
      <c r="BJ71" s="195">
        <f t="shared" si="6"/>
        <v>0</v>
      </c>
      <c r="BK71" s="195">
        <f t="shared" si="6"/>
        <v>15045.31</v>
      </c>
      <c r="BL71" s="195">
        <f t="shared" si="6"/>
        <v>8895974.1699999999</v>
      </c>
      <c r="BM71" s="195">
        <f t="shared" si="6"/>
        <v>0</v>
      </c>
      <c r="BN71" s="195">
        <f t="shared" si="6"/>
        <v>2286483.85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574102.87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1133429.5</v>
      </c>
      <c r="BW71" s="195">
        <f t="shared" si="7"/>
        <v>112578.52</v>
      </c>
      <c r="BX71" s="195">
        <f t="shared" si="7"/>
        <v>3179802.33</v>
      </c>
      <c r="BY71" s="195">
        <f t="shared" si="7"/>
        <v>3343551.95</v>
      </c>
      <c r="BZ71" s="195">
        <f t="shared" si="7"/>
        <v>138903.95000000001</v>
      </c>
      <c r="CA71" s="195">
        <f t="shared" si="7"/>
        <v>810397.04</v>
      </c>
      <c r="CB71" s="195">
        <f t="shared" si="7"/>
        <v>0</v>
      </c>
      <c r="CC71" s="195">
        <f t="shared" si="7"/>
        <v>35790688.950000003</v>
      </c>
      <c r="CD71" s="245">
        <f>CD69-CD70</f>
        <v>6166199.9500000011</v>
      </c>
      <c r="CE71" s="195">
        <f>SUM(CE61:CE69)-CE70</f>
        <v>284210365.52000004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28333611.649999999</v>
      </c>
      <c r="D73" s="184"/>
      <c r="E73" s="185">
        <v>97400852.379999995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>
        <v>43422572.649999999</v>
      </c>
      <c r="P73" s="185">
        <v>141741411.94999999</v>
      </c>
      <c r="Q73" s="185">
        <v>7848711.9800000004</v>
      </c>
      <c r="R73" s="185"/>
      <c r="S73" s="185"/>
      <c r="T73" s="185">
        <v>3989205.1</v>
      </c>
      <c r="U73" s="185">
        <v>34766353.369999997</v>
      </c>
      <c r="V73" s="185">
        <v>7740495.8700000001</v>
      </c>
      <c r="W73" s="185">
        <v>4669679.79</v>
      </c>
      <c r="X73" s="185">
        <v>28403679.940000001</v>
      </c>
      <c r="Y73" s="185">
        <v>9364915.5800000001</v>
      </c>
      <c r="Z73" s="185">
        <v>417007.78</v>
      </c>
      <c r="AA73" s="185">
        <v>1053938.8700000001</v>
      </c>
      <c r="AB73" s="185">
        <v>84910212.870000005</v>
      </c>
      <c r="AC73" s="185">
        <v>20432331.670000002</v>
      </c>
      <c r="AD73" s="185">
        <v>2306948.91</v>
      </c>
      <c r="AE73" s="185">
        <v>2595175.29</v>
      </c>
      <c r="AF73" s="185"/>
      <c r="AG73" s="185">
        <v>29535364.09</v>
      </c>
      <c r="AH73" s="185"/>
      <c r="AI73" s="185"/>
      <c r="AJ73" s="185">
        <v>211584.73</v>
      </c>
      <c r="AK73" s="185">
        <v>1020152.63</v>
      </c>
      <c r="AL73" s="185">
        <v>670974.34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169698.84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551004880.28000021</v>
      </c>
      <c r="CF73" s="252"/>
    </row>
    <row r="74" spans="1:84" ht="12.6" customHeight="1" x14ac:dyDescent="0.2">
      <c r="A74" s="171" t="s">
        <v>246</v>
      </c>
      <c r="B74" s="175"/>
      <c r="C74" s="184">
        <v>187777.7</v>
      </c>
      <c r="D74" s="184"/>
      <c r="E74" s="185">
        <v>28631289.539999999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>
        <v>2660420.85</v>
      </c>
      <c r="P74" s="185">
        <v>263750297.19999999</v>
      </c>
      <c r="Q74" s="185">
        <v>16276871.49</v>
      </c>
      <c r="R74" s="185"/>
      <c r="S74" s="185"/>
      <c r="T74" s="185">
        <v>303527.38</v>
      </c>
      <c r="U74" s="185">
        <v>34501424.670000002</v>
      </c>
      <c r="V74" s="185">
        <v>7616527.0099999998</v>
      </c>
      <c r="W74" s="185">
        <v>15443389.6</v>
      </c>
      <c r="X74" s="185">
        <v>86401409.159999996</v>
      </c>
      <c r="Y74" s="185">
        <v>34804128.030000001</v>
      </c>
      <c r="Z74" s="185">
        <v>23325791.420000002</v>
      </c>
      <c r="AA74" s="185">
        <v>9150906.3499999996</v>
      </c>
      <c r="AB74" s="185">
        <v>66472659.670000002</v>
      </c>
      <c r="AC74" s="185">
        <v>7077067.8399999999</v>
      </c>
      <c r="AD74" s="185">
        <v>131534.49</v>
      </c>
      <c r="AE74" s="185">
        <v>10896539.720000001</v>
      </c>
      <c r="AF74" s="185"/>
      <c r="AG74" s="185">
        <v>135529895.06999999</v>
      </c>
      <c r="AH74" s="185"/>
      <c r="AI74" s="185"/>
      <c r="AJ74" s="185">
        <v>115584474.18000001</v>
      </c>
      <c r="AK74" s="185">
        <v>1564771.59</v>
      </c>
      <c r="AL74" s="185">
        <v>375450.39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-79+3096.15</f>
        <v>3017.15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860689170.50000012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28521389.349999998</v>
      </c>
      <c r="D75" s="195">
        <f t="shared" si="9"/>
        <v>0</v>
      </c>
      <c r="E75" s="195">
        <f t="shared" si="9"/>
        <v>126032141.91999999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46082993.5</v>
      </c>
      <c r="P75" s="195">
        <f t="shared" si="9"/>
        <v>405491709.14999998</v>
      </c>
      <c r="Q75" s="195">
        <f t="shared" si="9"/>
        <v>24125583.469999999</v>
      </c>
      <c r="R75" s="195">
        <f t="shared" si="9"/>
        <v>0</v>
      </c>
      <c r="S75" s="195">
        <f t="shared" si="9"/>
        <v>0</v>
      </c>
      <c r="T75" s="195">
        <f t="shared" si="9"/>
        <v>4292732.4800000004</v>
      </c>
      <c r="U75" s="195">
        <f t="shared" si="9"/>
        <v>69267778.039999992</v>
      </c>
      <c r="V75" s="195">
        <f t="shared" si="9"/>
        <v>15357022.879999999</v>
      </c>
      <c r="W75" s="195">
        <f t="shared" si="9"/>
        <v>20113069.390000001</v>
      </c>
      <c r="X75" s="195">
        <f t="shared" si="9"/>
        <v>114805089.09999999</v>
      </c>
      <c r="Y75" s="195">
        <f t="shared" si="9"/>
        <v>44169043.609999999</v>
      </c>
      <c r="Z75" s="195">
        <f t="shared" si="9"/>
        <v>23742799.200000003</v>
      </c>
      <c r="AA75" s="195">
        <f t="shared" si="9"/>
        <v>10204845.219999999</v>
      </c>
      <c r="AB75" s="195">
        <f t="shared" si="9"/>
        <v>151382872.54000002</v>
      </c>
      <c r="AC75" s="195">
        <f t="shared" si="9"/>
        <v>27509399.510000002</v>
      </c>
      <c r="AD75" s="195">
        <f t="shared" si="9"/>
        <v>2438483.4000000004</v>
      </c>
      <c r="AE75" s="195">
        <f t="shared" si="9"/>
        <v>13491715.010000002</v>
      </c>
      <c r="AF75" s="195">
        <f t="shared" si="9"/>
        <v>0</v>
      </c>
      <c r="AG75" s="195">
        <f t="shared" si="9"/>
        <v>165065259.16</v>
      </c>
      <c r="AH75" s="195">
        <f t="shared" si="9"/>
        <v>0</v>
      </c>
      <c r="AI75" s="195">
        <f t="shared" si="9"/>
        <v>0</v>
      </c>
      <c r="AJ75" s="195">
        <f t="shared" si="9"/>
        <v>115796058.91000001</v>
      </c>
      <c r="AK75" s="195">
        <f t="shared" si="9"/>
        <v>2584924.2200000002</v>
      </c>
      <c r="AL75" s="195">
        <f t="shared" si="9"/>
        <v>1046424.73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172715.99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1411694050.7800004</v>
      </c>
      <c r="CF75" s="252"/>
    </row>
    <row r="76" spans="1:84" ht="12.6" customHeight="1" x14ac:dyDescent="0.2">
      <c r="A76" s="171" t="s">
        <v>248</v>
      </c>
      <c r="B76" s="175"/>
      <c r="C76" s="290">
        <v>11112</v>
      </c>
      <c r="D76" s="290">
        <v>0</v>
      </c>
      <c r="E76" s="290">
        <v>48910.54</v>
      </c>
      <c r="F76" s="290">
        <v>0</v>
      </c>
      <c r="G76" s="290">
        <v>0</v>
      </c>
      <c r="H76" s="290">
        <v>0</v>
      </c>
      <c r="I76" s="290">
        <v>0</v>
      </c>
      <c r="J76" s="290">
        <v>0</v>
      </c>
      <c r="K76" s="290">
        <v>0</v>
      </c>
      <c r="L76" s="290">
        <v>0</v>
      </c>
      <c r="M76" s="290">
        <v>0</v>
      </c>
      <c r="N76" s="290">
        <v>0</v>
      </c>
      <c r="O76" s="290">
        <f>1224+3030</f>
        <v>4254</v>
      </c>
      <c r="P76" s="290">
        <v>23570</v>
      </c>
      <c r="Q76" s="290">
        <v>1238</v>
      </c>
      <c r="R76" s="290">
        <v>0</v>
      </c>
      <c r="S76" s="290">
        <v>5572</v>
      </c>
      <c r="T76" s="290">
        <v>0</v>
      </c>
      <c r="U76" s="290">
        <v>6711</v>
      </c>
      <c r="V76" s="290">
        <v>0</v>
      </c>
      <c r="W76" s="290">
        <v>0</v>
      </c>
      <c r="X76" s="290">
        <v>787</v>
      </c>
      <c r="Y76" s="290">
        <v>24598</v>
      </c>
      <c r="Z76" s="290">
        <v>0</v>
      </c>
      <c r="AA76" s="290">
        <v>788</v>
      </c>
      <c r="AB76" s="290">
        <v>8305</v>
      </c>
      <c r="AC76" s="290">
        <v>1185</v>
      </c>
      <c r="AD76" s="290">
        <v>0</v>
      </c>
      <c r="AE76" s="290">
        <v>9857.14</v>
      </c>
      <c r="AF76" s="290">
        <v>0</v>
      </c>
      <c r="AG76" s="290">
        <v>10167</v>
      </c>
      <c r="AH76" s="290">
        <v>0</v>
      </c>
      <c r="AI76" s="290">
        <v>0</v>
      </c>
      <c r="AJ76" s="290">
        <v>0</v>
      </c>
      <c r="AK76" s="290">
        <v>3298</v>
      </c>
      <c r="AL76" s="290">
        <v>690</v>
      </c>
      <c r="AM76" s="290">
        <v>0</v>
      </c>
      <c r="AN76" s="290">
        <v>0</v>
      </c>
      <c r="AO76" s="290">
        <v>0</v>
      </c>
      <c r="AP76" s="290">
        <v>0</v>
      </c>
      <c r="AQ76" s="290">
        <v>0</v>
      </c>
      <c r="AR76" s="290">
        <v>0</v>
      </c>
      <c r="AS76" s="290">
        <v>0</v>
      </c>
      <c r="AT76" s="290">
        <v>0</v>
      </c>
      <c r="AU76" s="290">
        <v>0</v>
      </c>
      <c r="AV76" s="290">
        <v>803</v>
      </c>
      <c r="AW76" s="290">
        <v>0</v>
      </c>
      <c r="AX76" s="290">
        <v>0</v>
      </c>
      <c r="AY76" s="290">
        <v>0</v>
      </c>
      <c r="AZ76" s="290">
        <v>5708</v>
      </c>
      <c r="BA76" s="290">
        <v>2159</v>
      </c>
      <c r="BB76" s="290">
        <v>0</v>
      </c>
      <c r="BC76" s="290">
        <v>0</v>
      </c>
      <c r="BD76" s="290">
        <v>0</v>
      </c>
      <c r="BE76" s="290">
        <v>60387</v>
      </c>
      <c r="BF76" s="290">
        <v>625</v>
      </c>
      <c r="BG76" s="290">
        <v>0</v>
      </c>
      <c r="BH76" s="290">
        <v>0</v>
      </c>
      <c r="BI76" s="290">
        <v>484</v>
      </c>
      <c r="BJ76" s="290">
        <v>0</v>
      </c>
      <c r="BK76" s="290">
        <v>0</v>
      </c>
      <c r="BL76" s="290">
        <v>0</v>
      </c>
      <c r="BM76" s="290">
        <v>0</v>
      </c>
      <c r="BN76" s="290">
        <v>24023.99</v>
      </c>
      <c r="BO76" s="290">
        <v>0</v>
      </c>
      <c r="BP76" s="290">
        <v>0</v>
      </c>
      <c r="BQ76" s="290">
        <v>0</v>
      </c>
      <c r="BR76" s="290">
        <f>6091-6091</f>
        <v>0</v>
      </c>
      <c r="BS76" s="290">
        <v>0</v>
      </c>
      <c r="BT76" s="290">
        <v>0</v>
      </c>
      <c r="BU76" s="290">
        <v>0</v>
      </c>
      <c r="BV76" s="290">
        <v>2570</v>
      </c>
      <c r="BW76" s="290">
        <v>0</v>
      </c>
      <c r="BX76" s="290">
        <v>0</v>
      </c>
      <c r="BY76" s="290">
        <v>1482</v>
      </c>
      <c r="BZ76" s="290">
        <v>0</v>
      </c>
      <c r="CA76" s="290">
        <v>0</v>
      </c>
      <c r="CB76" s="290">
        <v>0</v>
      </c>
      <c r="CC76" s="290">
        <v>0</v>
      </c>
      <c r="CD76" s="249" t="s">
        <v>221</v>
      </c>
      <c r="CE76" s="195">
        <f t="shared" si="8"/>
        <v>259284.66999999998</v>
      </c>
      <c r="CF76" s="195">
        <f>BE59-CE76</f>
        <v>0.33000000001629815</v>
      </c>
    </row>
    <row r="77" spans="1:84" ht="12.6" customHeight="1" x14ac:dyDescent="0.2">
      <c r="A77" s="171" t="s">
        <v>249</v>
      </c>
      <c r="B77" s="175"/>
      <c r="C77" s="184">
        <f>6365</f>
        <v>6365</v>
      </c>
      <c r="D77" s="184"/>
      <c r="E77" s="184">
        <v>50673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>
        <v>6941</v>
      </c>
      <c r="P77" s="184">
        <v>24935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6475</v>
      </c>
      <c r="AH77" s="184"/>
      <c r="AI77" s="184"/>
      <c r="AJ77" s="184">
        <v>21</v>
      </c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>
        <v>17134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112544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4783.8100000000004</v>
      </c>
      <c r="D78" s="184"/>
      <c r="E78" s="184">
        <v>21056.42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1304.44</v>
      </c>
      <c r="P78" s="184">
        <v>10147.18</v>
      </c>
      <c r="Q78" s="184">
        <v>532.97</v>
      </c>
      <c r="R78" s="184"/>
      <c r="S78" s="184">
        <v>2398.8000000000002</v>
      </c>
      <c r="T78" s="184"/>
      <c r="U78" s="184">
        <v>2889.14</v>
      </c>
      <c r="V78" s="184"/>
      <c r="W78" s="184"/>
      <c r="X78" s="184">
        <v>338.81</v>
      </c>
      <c r="Y78" s="184">
        <v>10589.73</v>
      </c>
      <c r="Z78" s="184"/>
      <c r="AA78" s="184">
        <v>339.24</v>
      </c>
      <c r="AB78" s="184">
        <v>3575.58</v>
      </c>
      <c r="AC78" s="184">
        <v>510.15</v>
      </c>
      <c r="AD78" s="184"/>
      <c r="AE78" s="184">
        <v>4243.59</v>
      </c>
      <c r="AF78" s="184"/>
      <c r="AG78" s="184">
        <v>4376.9799999999996</v>
      </c>
      <c r="AH78" s="184"/>
      <c r="AI78" s="184"/>
      <c r="AJ78" s="184"/>
      <c r="AK78" s="184">
        <v>1419.82</v>
      </c>
      <c r="AL78" s="184">
        <v>297.05</v>
      </c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929.47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>
        <v>208.37</v>
      </c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1106.4100000000001</v>
      </c>
      <c r="BW78" s="184"/>
      <c r="BX78" s="184"/>
      <c r="BY78" s="184">
        <v>638.01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71685.97</v>
      </c>
      <c r="CF78" s="195"/>
    </row>
    <row r="79" spans="1:84" ht="12.6" customHeight="1" x14ac:dyDescent="0.2">
      <c r="A79" s="171" t="s">
        <v>251</v>
      </c>
      <c r="B79" s="175"/>
      <c r="C79" s="225"/>
      <c r="D79" s="225"/>
      <c r="E79" s="184">
        <v>293601.40000000002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112327.81</v>
      </c>
      <c r="P79" s="184">
        <v>270990.92</v>
      </c>
      <c r="Q79" s="184">
        <v>6207.63</v>
      </c>
      <c r="R79" s="184"/>
      <c r="S79" s="184"/>
      <c r="T79" s="184"/>
      <c r="U79" s="184"/>
      <c r="V79" s="184"/>
      <c r="W79" s="184"/>
      <c r="X79" s="184"/>
      <c r="Y79" s="184">
        <v>54472.75</v>
      </c>
      <c r="Z79" s="184"/>
      <c r="AA79" s="184"/>
      <c r="AB79" s="184"/>
      <c r="AC79" s="184"/>
      <c r="AD79" s="184"/>
      <c r="AE79" s="184"/>
      <c r="AF79" s="184"/>
      <c r="AG79" s="184">
        <v>277165.27</v>
      </c>
      <c r="AH79" s="184"/>
      <c r="AI79" s="184"/>
      <c r="AJ79" s="184"/>
      <c r="AK79" s="184">
        <v>11876.04</v>
      </c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7543.38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1034185.2000000001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31.44</v>
      </c>
      <c r="D80" s="187"/>
      <c r="E80" s="187">
        <v>121.29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35.380000000000003</v>
      </c>
      <c r="P80" s="187">
        <v>39.99</v>
      </c>
      <c r="Q80" s="187">
        <v>18.3</v>
      </c>
      <c r="R80" s="187"/>
      <c r="S80" s="187"/>
      <c r="T80" s="187">
        <v>2.2599999999999998</v>
      </c>
      <c r="U80" s="187"/>
      <c r="V80" s="187">
        <v>0.75</v>
      </c>
      <c r="W80" s="187"/>
      <c r="X80" s="187"/>
      <c r="Y80" s="187"/>
      <c r="Z80" s="187">
        <v>1.1499999999999999</v>
      </c>
      <c r="AA80" s="187"/>
      <c r="AB80" s="187"/>
      <c r="AC80" s="187"/>
      <c r="AD80" s="187"/>
      <c r="AE80" s="187"/>
      <c r="AF80" s="187"/>
      <c r="AG80" s="187">
        <v>34.729999999999997</v>
      </c>
      <c r="AH80" s="187"/>
      <c r="AI80" s="187"/>
      <c r="AJ80" s="187">
        <v>45.04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8.14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338.47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1272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1273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1274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 t="s">
        <v>1274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1275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1269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1270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1281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7150</v>
      </c>
      <c r="D111" s="174">
        <v>29920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1178</v>
      </c>
      <c r="D114" s="174">
        <v>1715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14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>
        <v>16</v>
      </c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72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16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>
        <v>6</v>
      </c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124</v>
      </c>
    </row>
    <row r="128" spans="1:5" ht="12.6" customHeight="1" x14ac:dyDescent="0.2">
      <c r="A128" s="173" t="s">
        <v>292</v>
      </c>
      <c r="B128" s="172" t="s">
        <v>256</v>
      </c>
      <c r="C128" s="189">
        <v>124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18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f>1751+1218</f>
        <v>2969</v>
      </c>
      <c r="C138" s="189">
        <f>368+1746</f>
        <v>2114</v>
      </c>
      <c r="D138" s="174">
        <f>-5083+7210-60</f>
        <v>2067</v>
      </c>
      <c r="E138" s="175">
        <f>SUM(B138:D138)</f>
        <v>7150</v>
      </c>
    </row>
    <row r="139" spans="1:6" ht="12.6" customHeight="1" x14ac:dyDescent="0.2">
      <c r="A139" s="173" t="s">
        <v>215</v>
      </c>
      <c r="B139" s="174">
        <f>9187+7139</f>
        <v>16326</v>
      </c>
      <c r="C139" s="189">
        <f>1388+6036</f>
        <v>7424</v>
      </c>
      <c r="D139" s="174">
        <f>-23750+30192-272</f>
        <v>6170</v>
      </c>
      <c r="E139" s="175">
        <f>SUM(B139:D139)</f>
        <v>29920</v>
      </c>
    </row>
    <row r="140" spans="1:6" ht="12.6" customHeight="1" x14ac:dyDescent="0.2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">
      <c r="A141" s="173" t="s">
        <v>245</v>
      </c>
      <c r="B141" s="174">
        <v>251500407.47</v>
      </c>
      <c r="C141" s="189">
        <v>129616015.59999999</v>
      </c>
      <c r="D141" s="174">
        <v>169888457.21000001</v>
      </c>
      <c r="E141" s="175">
        <f>SUM(B141:D141)</f>
        <v>551004880.27999997</v>
      </c>
      <c r="F141" s="199"/>
    </row>
    <row r="142" spans="1:6" ht="12.6" customHeight="1" x14ac:dyDescent="0.2">
      <c r="A142" s="173" t="s">
        <v>246</v>
      </c>
      <c r="B142" s="174">
        <v>306352910</v>
      </c>
      <c r="C142" s="189">
        <v>200129435.09999999</v>
      </c>
      <c r="D142" s="174">
        <v>354206825.36000001</v>
      </c>
      <c r="E142" s="175">
        <f>SUM(B142:D142)</f>
        <v>860689170.46000004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7371020.0800000001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385514.44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599228.39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11936814.34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238371.68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5166318.51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f>1274937.23-1</f>
        <v>1274936.23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26972203.669999998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f>3073628.17-632165+3132903.6+613405.26</f>
        <v>6187772.0299999993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f>7426338.47-6187772</f>
        <v>1238566.4699999997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7426338.4999999991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f>1978606.63+734794.63</f>
        <v>2713401.26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f>34510.11+205680.34-157952.5</f>
        <v>82237.950000000012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2795639.21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134056.85999999999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8993681.3100000005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9127738.1699999999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68687.81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/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68687.81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f>7206096.99</f>
        <v>7206096.9900000002</v>
      </c>
      <c r="C195" s="189"/>
      <c r="D195" s="174"/>
      <c r="E195" s="175">
        <f t="shared" ref="E195:E203" si="10">SUM(B195:C195)-D195</f>
        <v>7206096.9900000002</v>
      </c>
    </row>
    <row r="196" spans="1:8" ht="12.6" customHeight="1" x14ac:dyDescent="0.2">
      <c r="A196" s="173" t="s">
        <v>333</v>
      </c>
      <c r="B196" s="174">
        <f>2932921.47</f>
        <v>2932921.47</v>
      </c>
      <c r="C196" s="189"/>
      <c r="D196" s="174"/>
      <c r="E196" s="175">
        <f t="shared" si="10"/>
        <v>2932921.47</v>
      </c>
    </row>
    <row r="197" spans="1:8" ht="12.6" customHeight="1" x14ac:dyDescent="0.2">
      <c r="A197" s="173" t="s">
        <v>334</v>
      </c>
      <c r="B197" s="174">
        <f>55434843.79+6703221.26+290116.84</f>
        <v>62428181.890000001</v>
      </c>
      <c r="C197" s="189">
        <f>287343.01+39767.34+1727144.5</f>
        <v>2054254.85</v>
      </c>
      <c r="D197" s="174"/>
      <c r="E197" s="175">
        <f t="shared" si="10"/>
        <v>64482436.740000002</v>
      </c>
    </row>
    <row r="198" spans="1:8" ht="12.6" customHeight="1" x14ac:dyDescent="0.2">
      <c r="A198" s="173" t="s">
        <v>335</v>
      </c>
      <c r="B198" s="174">
        <f>21475200.43+207101.3</f>
        <v>21682301.73</v>
      </c>
      <c r="C198" s="189">
        <f>879531.16-26919.56+28388.12+87360.81</f>
        <v>968360.53</v>
      </c>
      <c r="D198" s="174"/>
      <c r="E198" s="175">
        <f t="shared" si="10"/>
        <v>22650662.260000002</v>
      </c>
    </row>
    <row r="199" spans="1:8" ht="12.6" customHeight="1" x14ac:dyDescent="0.2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">
      <c r="A200" s="173" t="s">
        <v>337</v>
      </c>
      <c r="B200" s="174">
        <f>104144120.42+9942018.86</f>
        <v>114086139.28</v>
      </c>
      <c r="C200" s="189">
        <f>1882652.54+1865093.18+229781.81+1362787.87-10604.08+62148</f>
        <v>5391859.3200000003</v>
      </c>
      <c r="D200" s="174">
        <f>6091328.98-6091328.98+405820.12-795413.25+3076486.15</f>
        <v>2686893.02</v>
      </c>
      <c r="E200" s="175">
        <f t="shared" si="10"/>
        <v>116791105.58</v>
      </c>
    </row>
    <row r="201" spans="1:8" ht="12.6" customHeight="1" x14ac:dyDescent="0.2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">
      <c r="A202" s="173" t="s">
        <v>339</v>
      </c>
      <c r="B202" s="174">
        <f>9430970.6+5375049.8</f>
        <v>14806020.399999999</v>
      </c>
      <c r="C202" s="189">
        <f>895625.81+736777.19+114480</f>
        <v>1746883</v>
      </c>
      <c r="D202" s="174">
        <f>358140.35</f>
        <v>358140.35</v>
      </c>
      <c r="E202" s="175">
        <f t="shared" si="10"/>
        <v>16194763.049999999</v>
      </c>
    </row>
    <row r="203" spans="1:8" ht="12.6" customHeight="1" x14ac:dyDescent="0.2">
      <c r="A203" s="173" t="s">
        <v>340</v>
      </c>
      <c r="B203" s="174">
        <f>2038822.63+113145.2+57864.13+21828.7</f>
        <v>2231660.66</v>
      </c>
      <c r="C203" s="189">
        <f>877743.47+2483570.04+381382.55-21974.71+7931.64+2992.14</f>
        <v>3731645.13</v>
      </c>
      <c r="D203" s="174">
        <f>2485951.42+2311600.42</f>
        <v>4797551.84</v>
      </c>
      <c r="E203" s="175">
        <f t="shared" si="10"/>
        <v>1165753.9500000002</v>
      </c>
    </row>
    <row r="204" spans="1:8" ht="12.6" customHeight="1" x14ac:dyDescent="0.2">
      <c r="A204" s="173" t="s">
        <v>203</v>
      </c>
      <c r="B204" s="175">
        <f>SUM(B195:B203)</f>
        <v>225373322.42000002</v>
      </c>
      <c r="C204" s="191">
        <f>SUM(C195:C203)</f>
        <v>13893002.829999998</v>
      </c>
      <c r="D204" s="175">
        <f>SUM(D195:D203)</f>
        <v>7842585.21</v>
      </c>
      <c r="E204" s="175">
        <f>SUM(E195:E203)</f>
        <v>231423740.04000002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f>2153905.6</f>
        <v>2153905.6</v>
      </c>
      <c r="C209" s="189">
        <v>110493.45</v>
      </c>
      <c r="D209" s="174"/>
      <c r="E209" s="175">
        <f t="shared" ref="E209:E216" si="11">SUM(B209:C209)-D209</f>
        <v>2264399.0500000003</v>
      </c>
      <c r="H209" s="259"/>
    </row>
    <row r="210" spans="1:8" ht="12.6" customHeight="1" x14ac:dyDescent="0.2">
      <c r="A210" s="173" t="s">
        <v>334</v>
      </c>
      <c r="B210" s="174">
        <f>19804960.5+1669372.01+35204.21</f>
        <v>21509536.720000003</v>
      </c>
      <c r="C210" s="189">
        <f>1665643.54+754072.57+33262.15</f>
        <v>2452978.2599999998</v>
      </c>
      <c r="D210" s="174">
        <f>-5358.32-4825.56</f>
        <v>-10183.880000000001</v>
      </c>
      <c r="E210" s="175">
        <f t="shared" si="11"/>
        <v>23972698.860000003</v>
      </c>
      <c r="H210" s="259"/>
    </row>
    <row r="211" spans="1:8" ht="12.6" customHeight="1" x14ac:dyDescent="0.2">
      <c r="A211" s="173" t="s">
        <v>335</v>
      </c>
      <c r="B211" s="174">
        <f>16250340.15+128237.55</f>
        <v>16378577.700000001</v>
      </c>
      <c r="C211" s="189">
        <f>611409.83-5231.93</f>
        <v>606177.89999999991</v>
      </c>
      <c r="D211" s="174">
        <f>-17577.97</f>
        <v>-17577.97</v>
      </c>
      <c r="E211" s="175">
        <f t="shared" si="11"/>
        <v>17002333.57</v>
      </c>
      <c r="H211" s="259"/>
    </row>
    <row r="212" spans="1:8" ht="12.6" customHeight="1" x14ac:dyDescent="0.2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">
      <c r="A213" s="173" t="s">
        <v>337</v>
      </c>
      <c r="B213" s="174">
        <f>77526961.12+6388066.19</f>
        <v>83915027.310000002</v>
      </c>
      <c r="C213" s="189">
        <f>6658675.3+1044973.55+1012008.84+102843.33-46663.38+1371041.86-1176381</f>
        <v>8966498.4999999981</v>
      </c>
      <c r="D213" s="174">
        <f>-6217.76+3076486.15-150000+181838.05-875634.95-46663.38-510467.47-1176381</f>
        <v>492959.64000000036</v>
      </c>
      <c r="E213" s="175">
        <f t="shared" si="11"/>
        <v>92388566.170000002</v>
      </c>
      <c r="H213" s="259"/>
    </row>
    <row r="214" spans="1:8" ht="12.6" customHeight="1" x14ac:dyDescent="0.2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f>5820888.68+2917785.32</f>
        <v>8738674</v>
      </c>
      <c r="C215" s="189">
        <f>837553.3+631889.07</f>
        <v>1469442.37</v>
      </c>
      <c r="D215" s="174">
        <f>-32452.03+158093.61-399951.21</f>
        <v>-274309.63</v>
      </c>
      <c r="E215" s="175">
        <f t="shared" si="11"/>
        <v>10482426.000000002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132695721.33000001</v>
      </c>
      <c r="C217" s="191">
        <f>SUM(C208:C216)</f>
        <v>13605590.479999997</v>
      </c>
      <c r="D217" s="175">
        <f>SUM(D208:D216)</f>
        <v>190888.16000000038</v>
      </c>
      <c r="E217" s="175">
        <f>SUM(E208:E216)</f>
        <v>146110423.65000001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91" t="s">
        <v>1255</v>
      </c>
      <c r="C220" s="291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-5866430.8600000003</v>
      </c>
      <c r="D221" s="172">
        <f>C221</f>
        <v>-5866430.8600000003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v>473369965.92000002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286647699.36000001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35235589.770000003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270901965.44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19983055.48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1086138275.97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f>8373+3401+1440</f>
        <v>13214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13168972.49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f>30100171.07+805172.49</f>
        <v>30905343.559999999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44074316.049999997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1124346161.1600001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1240284.1599999999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182065605.78999999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144458662.91999999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2816374.25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6863493.4500000002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555203.47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/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49082298.200000003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7206096.9900000002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2932921.47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f>55434843.79+9047592.95</f>
        <v>64482436.739999995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>
        <v>22650662.260000002</v>
      </c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/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116791105.58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16194763.050000001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f>877793+287960.95</f>
        <v>1165753.95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231423740.03999999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f>143081097.44+3029326.21</f>
        <v>146110423.65000001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85313316.389999986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>
        <f>29237683+3924894.78</f>
        <v>33162577.780000001</v>
      </c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f>24852129.8</f>
        <v>24852129.800000001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58014707.579999998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>
        <v>10727067.359999999</v>
      </c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>
        <v>4086298.73</v>
      </c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14813366.09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207223688.25999996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2645440.62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12924173.66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>
        <v>15365075.439999999</v>
      </c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>
        <v>22202869.82</v>
      </c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>
        <f>211795.52+1171161.54</f>
        <v>1382957.06</v>
      </c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54520516.600000001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>
        <v>25229307.379999999</v>
      </c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25229307.379999999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f>211795.52+211795.52</f>
        <v>423591.04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1171161.54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1595555.28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3190307.8600000003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1382957.06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1807350.8000000003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125666513.45999999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207223688.24000001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207223688.25999996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551004880.27999997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f>767645965.42+2096154.77+90947050.31</f>
        <v>860689170.5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1411694050.78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-5866430.8600000003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1086138275.97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44074316.049999997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1124346161.1600001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287347889.61999989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f>11521130.61+122.39+586003.8</f>
        <v>12107256.800000001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12107256.800000001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299455146.4199999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f>114991428.21+3560632.25</f>
        <v>118552060.45999999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26972204.379999999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13493247.789999999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f>34585887.22</f>
        <v>34585887.219999999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1434237.32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65160328.68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13605590.4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7426338.4699999997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2795639.21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f>134056.86+8993681.31</f>
        <v>9127738.1699999999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68687.81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f>197616.4+62684.14+237931.87+2921.12+31301.35+1173960.79+753253.88+3122.75+633316.11</f>
        <v>3096108.4099999997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296318068.32000005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3137078.099999845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930589.59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4067667.6899998449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4067667.6899998449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St. Francis Hospital   H-0     FYE 06/30/2020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7150</v>
      </c>
      <c r="C414" s="194">
        <f>E138</f>
        <v>7150</v>
      </c>
      <c r="D414" s="179"/>
    </row>
    <row r="415" spans="1:5" ht="12.6" customHeight="1" x14ac:dyDescent="0.2">
      <c r="A415" s="179" t="s">
        <v>464</v>
      </c>
      <c r="B415" s="179">
        <f>D111</f>
        <v>29920</v>
      </c>
      <c r="C415" s="179">
        <f>E139</f>
        <v>29920</v>
      </c>
      <c r="D415" s="194">
        <f>SUM(C59:H59)+N59</f>
        <v>29920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1178</v>
      </c>
    </row>
    <row r="424" spans="1:7" ht="12.6" customHeight="1" x14ac:dyDescent="0.2">
      <c r="A424" s="179" t="s">
        <v>1244</v>
      </c>
      <c r="B424" s="179">
        <f>D114</f>
        <v>1715</v>
      </c>
      <c r="D424" s="179">
        <f>J59</f>
        <v>0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118552060.45999999</v>
      </c>
      <c r="C427" s="179">
        <f t="shared" ref="C427:C434" si="13">CE61</f>
        <v>118552060.45999998</v>
      </c>
      <c r="D427" s="179"/>
    </row>
    <row r="428" spans="1:7" ht="12.6" customHeight="1" x14ac:dyDescent="0.2">
      <c r="A428" s="179" t="s">
        <v>3</v>
      </c>
      <c r="B428" s="179">
        <f t="shared" si="12"/>
        <v>26972204.379999999</v>
      </c>
      <c r="C428" s="179">
        <f t="shared" si="13"/>
        <v>26972205</v>
      </c>
      <c r="D428" s="179">
        <f>D173</f>
        <v>26972203.669999998</v>
      </c>
    </row>
    <row r="429" spans="1:7" ht="12.6" customHeight="1" x14ac:dyDescent="0.2">
      <c r="A429" s="179" t="s">
        <v>236</v>
      </c>
      <c r="B429" s="179">
        <f t="shared" si="12"/>
        <v>13493247.789999999</v>
      </c>
      <c r="C429" s="179">
        <f t="shared" si="13"/>
        <v>13493247.789999999</v>
      </c>
      <c r="D429" s="179"/>
    </row>
    <row r="430" spans="1:7" ht="12.6" customHeight="1" x14ac:dyDescent="0.2">
      <c r="A430" s="179" t="s">
        <v>237</v>
      </c>
      <c r="B430" s="179">
        <f t="shared" si="12"/>
        <v>34585887.219999999</v>
      </c>
      <c r="C430" s="179">
        <f t="shared" si="13"/>
        <v>34585887.219999999</v>
      </c>
      <c r="D430" s="179"/>
    </row>
    <row r="431" spans="1:7" ht="12.6" customHeight="1" x14ac:dyDescent="0.2">
      <c r="A431" s="179" t="s">
        <v>444</v>
      </c>
      <c r="B431" s="179">
        <f t="shared" si="12"/>
        <v>1434237.32</v>
      </c>
      <c r="C431" s="179">
        <f t="shared" si="13"/>
        <v>1433798.6199999999</v>
      </c>
      <c r="D431" s="179"/>
    </row>
    <row r="432" spans="1:7" ht="12.6" customHeight="1" x14ac:dyDescent="0.2">
      <c r="A432" s="179" t="s">
        <v>445</v>
      </c>
      <c r="B432" s="179">
        <f t="shared" si="12"/>
        <v>65160328.68</v>
      </c>
      <c r="C432" s="179">
        <f t="shared" si="13"/>
        <v>65160328.659999996</v>
      </c>
      <c r="D432" s="179"/>
    </row>
    <row r="433" spans="1:7" ht="12.6" customHeight="1" x14ac:dyDescent="0.2">
      <c r="A433" s="179" t="s">
        <v>6</v>
      </c>
      <c r="B433" s="179">
        <f t="shared" si="12"/>
        <v>13605590.4</v>
      </c>
      <c r="C433" s="179">
        <f t="shared" si="13"/>
        <v>13605583</v>
      </c>
      <c r="D433" s="179">
        <f>C217</f>
        <v>13605590.479999997</v>
      </c>
    </row>
    <row r="434" spans="1:7" ht="12.6" customHeight="1" x14ac:dyDescent="0.2">
      <c r="A434" s="179" t="s">
        <v>474</v>
      </c>
      <c r="B434" s="179">
        <f t="shared" si="12"/>
        <v>7426338.4699999997</v>
      </c>
      <c r="C434" s="179">
        <f t="shared" si="13"/>
        <v>7426338.4700000007</v>
      </c>
      <c r="D434" s="179">
        <f>D177</f>
        <v>7426338.4999999991</v>
      </c>
    </row>
    <row r="435" spans="1:7" ht="12.6" customHeight="1" x14ac:dyDescent="0.2">
      <c r="A435" s="179" t="s">
        <v>447</v>
      </c>
      <c r="B435" s="179">
        <f t="shared" si="12"/>
        <v>2795639.21</v>
      </c>
      <c r="C435" s="179"/>
      <c r="D435" s="179">
        <f>D181</f>
        <v>2795639.21</v>
      </c>
    </row>
    <row r="436" spans="1:7" ht="12.6" customHeight="1" x14ac:dyDescent="0.2">
      <c r="A436" s="179" t="s">
        <v>475</v>
      </c>
      <c r="B436" s="179">
        <f t="shared" si="12"/>
        <v>9127738.1699999999</v>
      </c>
      <c r="C436" s="179"/>
      <c r="D436" s="179">
        <f>D186</f>
        <v>9127738.1699999999</v>
      </c>
    </row>
    <row r="437" spans="1:7" ht="12.6" customHeight="1" x14ac:dyDescent="0.2">
      <c r="A437" s="194" t="s">
        <v>449</v>
      </c>
      <c r="B437" s="194">
        <f t="shared" si="12"/>
        <v>68687.81</v>
      </c>
      <c r="C437" s="194"/>
      <c r="D437" s="194">
        <f>D190</f>
        <v>68687.81</v>
      </c>
    </row>
    <row r="438" spans="1:7" ht="12.6" customHeight="1" x14ac:dyDescent="0.2">
      <c r="A438" s="194" t="s">
        <v>476</v>
      </c>
      <c r="B438" s="194">
        <f>C386+C387+C388</f>
        <v>11992065.189999999</v>
      </c>
      <c r="C438" s="194">
        <f>CD69</f>
        <v>11992065.190000001</v>
      </c>
      <c r="D438" s="194">
        <f>D181+D186+D190</f>
        <v>11992065.189999999</v>
      </c>
    </row>
    <row r="439" spans="1:7" ht="12.6" customHeight="1" x14ac:dyDescent="0.2">
      <c r="A439" s="179" t="s">
        <v>451</v>
      </c>
      <c r="B439" s="194">
        <f>C389</f>
        <v>3096108.4099999997</v>
      </c>
      <c r="C439" s="194">
        <f>SUM(C69:CC69)</f>
        <v>3096108.4100000006</v>
      </c>
      <c r="D439" s="179"/>
    </row>
    <row r="440" spans="1:7" ht="12.6" customHeight="1" x14ac:dyDescent="0.2">
      <c r="A440" s="179" t="s">
        <v>477</v>
      </c>
      <c r="B440" s="194">
        <f>B438+B439</f>
        <v>15088173.6</v>
      </c>
      <c r="C440" s="194">
        <f>CE69</f>
        <v>15088173.600000001</v>
      </c>
      <c r="D440" s="179"/>
    </row>
    <row r="441" spans="1:7" ht="12.6" customHeight="1" x14ac:dyDescent="0.2">
      <c r="A441" s="179" t="s">
        <v>478</v>
      </c>
      <c r="B441" s="179">
        <f>D390</f>
        <v>296318068.32000005</v>
      </c>
      <c r="C441" s="179">
        <f>SUM(C427:C437)+C440</f>
        <v>296317622.82000005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-5866430.8600000003</v>
      </c>
      <c r="C444" s="179">
        <f>C363</f>
        <v>-5866430.8600000003</v>
      </c>
      <c r="D444" s="179"/>
    </row>
    <row r="445" spans="1:7" ht="12.6" customHeight="1" x14ac:dyDescent="0.2">
      <c r="A445" s="179" t="s">
        <v>343</v>
      </c>
      <c r="B445" s="179">
        <f>D229</f>
        <v>1086138275.97</v>
      </c>
      <c r="C445" s="179">
        <f>C364</f>
        <v>1086138275.97</v>
      </c>
      <c r="D445" s="179"/>
    </row>
    <row r="446" spans="1:7" ht="12.6" customHeight="1" x14ac:dyDescent="0.2">
      <c r="A446" s="179" t="s">
        <v>351</v>
      </c>
      <c r="B446" s="179">
        <f>D236</f>
        <v>44074316.049999997</v>
      </c>
      <c r="C446" s="179">
        <f>C365</f>
        <v>44074316.049999997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1124346161.1600001</v>
      </c>
      <c r="C448" s="179">
        <f>D367</f>
        <v>1124346161.1600001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13214</v>
      </c>
    </row>
    <row r="454" spans="1:7" ht="12.6" customHeight="1" x14ac:dyDescent="0.2">
      <c r="A454" s="179" t="s">
        <v>168</v>
      </c>
      <c r="B454" s="179">
        <f>C233</f>
        <v>13168972.49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30905343.559999999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12107256.800000001</v>
      </c>
      <c r="C458" s="194">
        <f>CE70</f>
        <v>12107257.299999999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551004880.27999997</v>
      </c>
      <c r="C463" s="194">
        <f>CE73</f>
        <v>551004880.28000021</v>
      </c>
      <c r="D463" s="194">
        <f>E141+E147+E153</f>
        <v>551004880.27999997</v>
      </c>
    </row>
    <row r="464" spans="1:7" ht="12.6" customHeight="1" x14ac:dyDescent="0.2">
      <c r="A464" s="179" t="s">
        <v>246</v>
      </c>
      <c r="B464" s="194">
        <f>C360</f>
        <v>860689170.5</v>
      </c>
      <c r="C464" s="194">
        <f>CE74</f>
        <v>860689170.50000012</v>
      </c>
      <c r="D464" s="194">
        <f>E142+E148+E154</f>
        <v>860689170.46000004</v>
      </c>
    </row>
    <row r="465" spans="1:7" ht="12.6" customHeight="1" x14ac:dyDescent="0.2">
      <c r="A465" s="179" t="s">
        <v>247</v>
      </c>
      <c r="B465" s="194">
        <f>D361</f>
        <v>1411694050.78</v>
      </c>
      <c r="C465" s="194">
        <f>CE75</f>
        <v>1411694050.7800004</v>
      </c>
      <c r="D465" s="194">
        <f>D463+D464</f>
        <v>1411694050.74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7206096.9900000002</v>
      </c>
      <c r="C468" s="179">
        <f>E195</f>
        <v>7206096.9900000002</v>
      </c>
      <c r="D468" s="179"/>
    </row>
    <row r="469" spans="1:7" ht="12.6" customHeight="1" x14ac:dyDescent="0.2">
      <c r="A469" s="179" t="s">
        <v>333</v>
      </c>
      <c r="B469" s="179">
        <f t="shared" si="14"/>
        <v>2932921.47</v>
      </c>
      <c r="C469" s="179">
        <f>E196</f>
        <v>2932921.47</v>
      </c>
      <c r="D469" s="179"/>
    </row>
    <row r="470" spans="1:7" ht="12.6" customHeight="1" x14ac:dyDescent="0.2">
      <c r="A470" s="179" t="s">
        <v>334</v>
      </c>
      <c r="B470" s="179">
        <f t="shared" si="14"/>
        <v>64482436.739999995</v>
      </c>
      <c r="C470" s="179">
        <f>E197</f>
        <v>64482436.740000002</v>
      </c>
      <c r="D470" s="179"/>
    </row>
    <row r="471" spans="1:7" ht="12.6" customHeight="1" x14ac:dyDescent="0.2">
      <c r="A471" s="179" t="s">
        <v>494</v>
      </c>
      <c r="B471" s="179">
        <f t="shared" si="14"/>
        <v>22650662.260000002</v>
      </c>
      <c r="C471" s="179">
        <f>E198</f>
        <v>22650662.260000002</v>
      </c>
      <c r="D471" s="179"/>
    </row>
    <row r="472" spans="1:7" ht="12.6" customHeight="1" x14ac:dyDescent="0.2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">
      <c r="A473" s="179" t="s">
        <v>495</v>
      </c>
      <c r="B473" s="179">
        <f t="shared" si="14"/>
        <v>116791105.58</v>
      </c>
      <c r="C473" s="179">
        <f>SUM(E200:E201)</f>
        <v>116791105.58</v>
      </c>
      <c r="D473" s="179"/>
    </row>
    <row r="474" spans="1:7" ht="12.6" customHeight="1" x14ac:dyDescent="0.2">
      <c r="A474" s="179" t="s">
        <v>339</v>
      </c>
      <c r="B474" s="179">
        <f t="shared" si="14"/>
        <v>16194763.050000001</v>
      </c>
      <c r="C474" s="179">
        <f>E202</f>
        <v>16194763.049999999</v>
      </c>
      <c r="D474" s="179"/>
    </row>
    <row r="475" spans="1:7" ht="12.6" customHeight="1" x14ac:dyDescent="0.2">
      <c r="A475" s="179" t="s">
        <v>340</v>
      </c>
      <c r="B475" s="179">
        <f t="shared" si="14"/>
        <v>1165753.95</v>
      </c>
      <c r="C475" s="179">
        <f>E203</f>
        <v>1165753.9500000002</v>
      </c>
      <c r="D475" s="179"/>
    </row>
    <row r="476" spans="1:7" ht="12.6" customHeight="1" x14ac:dyDescent="0.2">
      <c r="A476" s="179" t="s">
        <v>203</v>
      </c>
      <c r="B476" s="179">
        <f>D275</f>
        <v>231423740.03999999</v>
      </c>
      <c r="C476" s="179">
        <f>E204</f>
        <v>231423740.04000002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146110423.65000001</v>
      </c>
      <c r="C478" s="179">
        <f>E217</f>
        <v>146110423.65000001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207223688.25999996</v>
      </c>
    </row>
    <row r="482" spans="1:12" ht="12.6" customHeight="1" x14ac:dyDescent="0.2">
      <c r="A482" s="180" t="s">
        <v>499</v>
      </c>
      <c r="C482" s="180">
        <f>D339</f>
        <v>207223688.24000001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80" t="str">
        <f>C83</f>
        <v>201</v>
      </c>
      <c r="B493" s="261" t="str">
        <f>RIGHT('Prior Year'!C82,4)</f>
        <v>2019</v>
      </c>
      <c r="C493" s="261" t="str">
        <f>RIGHT(C82,4)</f>
        <v>2020</v>
      </c>
      <c r="D493" s="261" t="str">
        <f>RIGHT('Prior Year'!C82,4)</f>
        <v>2019</v>
      </c>
      <c r="E493" s="261" t="str">
        <f>RIGHT(C82,4)</f>
        <v>2020</v>
      </c>
      <c r="F493" s="261" t="str">
        <f>RIGHT('Prior Year'!C82,4)</f>
        <v>2019</v>
      </c>
      <c r="G493" s="261" t="str">
        <f>RIGHT(C82,4)</f>
        <v>2020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7870795.0200000005</v>
      </c>
      <c r="C496" s="240">
        <f>C71</f>
        <v>8494673.6499999985</v>
      </c>
      <c r="D496" s="240">
        <f>'Prior Year'!C59</f>
        <v>4163</v>
      </c>
      <c r="E496" s="180">
        <f>C59</f>
        <v>4166</v>
      </c>
      <c r="F496" s="263">
        <f t="shared" ref="F496:G511" si="15">IF(B496=0,"",IF(D496=0,"",B496/D496))</f>
        <v>1890.6545808311316</v>
      </c>
      <c r="G496" s="264">
        <f t="shared" si="15"/>
        <v>2039.0479236677866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23000600.618759997</v>
      </c>
      <c r="C498" s="240">
        <f>E71</f>
        <v>25888993.41</v>
      </c>
      <c r="D498" s="240">
        <f>'Prior Year'!E59</f>
        <v>28329</v>
      </c>
      <c r="E498" s="180">
        <f>E59</f>
        <v>25754</v>
      </c>
      <c r="F498" s="263">
        <f t="shared" si="15"/>
        <v>811.9100786741501</v>
      </c>
      <c r="G498" s="263">
        <f t="shared" si="15"/>
        <v>1005.2416482876447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55580.076440000004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2112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8783231.8900000006</v>
      </c>
      <c r="C508" s="240">
        <f>O71</f>
        <v>8901123.2599999998</v>
      </c>
      <c r="D508" s="240">
        <f>'Prior Year'!O59</f>
        <v>5649</v>
      </c>
      <c r="E508" s="180">
        <f>O59</f>
        <v>5191</v>
      </c>
      <c r="F508" s="263">
        <f t="shared" si="15"/>
        <v>1554.8295078775006</v>
      </c>
      <c r="G508" s="263">
        <f t="shared" si="15"/>
        <v>1714.7222616066267</v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41871936.04056</v>
      </c>
      <c r="C509" s="240">
        <f>P71</f>
        <v>39824211.169999994</v>
      </c>
      <c r="D509" s="240">
        <f>'Prior Year'!P59</f>
        <v>647410</v>
      </c>
      <c r="E509" s="180">
        <f>P59</f>
        <v>595187</v>
      </c>
      <c r="F509" s="263">
        <f t="shared" si="15"/>
        <v>64.676072412474326</v>
      </c>
      <c r="G509" s="263">
        <f t="shared" si="15"/>
        <v>66.910418355911659</v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4127517.4099999992</v>
      </c>
      <c r="C510" s="240">
        <f>Q71</f>
        <v>4199258.26</v>
      </c>
      <c r="D510" s="240">
        <f>'Prior Year'!Q59</f>
        <v>19094</v>
      </c>
      <c r="E510" s="180">
        <f>Q59</f>
        <v>17580</v>
      </c>
      <c r="F510" s="263">
        <f t="shared" si="15"/>
        <v>216.16829422855344</v>
      </c>
      <c r="G510" s="263">
        <f t="shared" si="15"/>
        <v>238.86565756541523</v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2029196.8950259599</v>
      </c>
      <c r="C512" s="240">
        <f>S71</f>
        <v>956637.26000000013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715434.62303999998</v>
      </c>
      <c r="C513" s="240">
        <f>T71</f>
        <v>673994.42999999993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5615417.7599999998</v>
      </c>
      <c r="C514" s="240">
        <f>U71</f>
        <v>5938361.3800000008</v>
      </c>
      <c r="D514" s="240">
        <f>'Prior Year'!U59</f>
        <v>457730</v>
      </c>
      <c r="E514" s="180">
        <f>U59</f>
        <v>462930</v>
      </c>
      <c r="F514" s="263">
        <f t="shared" si="17"/>
        <v>12.267969676446814</v>
      </c>
      <c r="G514" s="263">
        <f t="shared" si="17"/>
        <v>12.827773918302984</v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0</v>
      </c>
      <c r="C515" s="240">
        <f>V71</f>
        <v>965678.27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0</v>
      </c>
      <c r="C516" s="240">
        <f>W71</f>
        <v>764868.88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1456995.9700000002</v>
      </c>
      <c r="C517" s="240">
        <f>X71</f>
        <v>1464667.45</v>
      </c>
      <c r="D517" s="240">
        <f>'Prior Year'!X59</f>
        <v>21858</v>
      </c>
      <c r="E517" s="180">
        <f>X59</f>
        <v>20862</v>
      </c>
      <c r="F517" s="263">
        <f t="shared" si="17"/>
        <v>66.657332326836865</v>
      </c>
      <c r="G517" s="263">
        <f t="shared" si="17"/>
        <v>70.207432173329494</v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7435543.1299999999</v>
      </c>
      <c r="C518" s="240">
        <f>Y71</f>
        <v>6053115.7599999998</v>
      </c>
      <c r="D518" s="240">
        <f>'Prior Year'!Y59</f>
        <v>180947</v>
      </c>
      <c r="E518" s="180">
        <f>Y59</f>
        <v>159643</v>
      </c>
      <c r="F518" s="263">
        <f t="shared" si="17"/>
        <v>41.092381360287817</v>
      </c>
      <c r="G518" s="263">
        <f t="shared" si="17"/>
        <v>37.916574857651135</v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0</v>
      </c>
      <c r="C519" s="240">
        <f>Z71</f>
        <v>3514403.1100000003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1307693.44</v>
      </c>
      <c r="C520" s="240">
        <f>AA71</f>
        <v>1177220.29</v>
      </c>
      <c r="D520" s="240">
        <f>'Prior Year'!AA59</f>
        <v>1984</v>
      </c>
      <c r="E520" s="180">
        <f>AA59</f>
        <v>1610</v>
      </c>
      <c r="F520" s="263">
        <f t="shared" si="17"/>
        <v>659.11967741935484</v>
      </c>
      <c r="G520" s="263">
        <f t="shared" si="17"/>
        <v>731.19272670807459</v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10447665.34</v>
      </c>
      <c r="C521" s="240">
        <f>AB71</f>
        <v>10045940.379999999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1685918.11</v>
      </c>
      <c r="C522" s="240">
        <f>AC71</f>
        <v>1758121.28</v>
      </c>
      <c r="D522" s="240">
        <f>'Prior Year'!AC59</f>
        <v>41333</v>
      </c>
      <c r="E522" s="180">
        <f>AC59</f>
        <v>38416</v>
      </c>
      <c r="F522" s="263">
        <f t="shared" si="17"/>
        <v>40.788670311857359</v>
      </c>
      <c r="G522" s="263">
        <f t="shared" si="17"/>
        <v>45.765339441899208</v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502476.93999999994</v>
      </c>
      <c r="C523" s="240">
        <f>AD71</f>
        <v>692346.24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2683681.59</v>
      </c>
      <c r="C524" s="240">
        <f>AE71</f>
        <v>3098859.63</v>
      </c>
      <c r="D524" s="240">
        <f>'Prior Year'!AE59</f>
        <v>82798</v>
      </c>
      <c r="E524" s="180">
        <f>AE59</f>
        <v>74518</v>
      </c>
      <c r="F524" s="263">
        <f t="shared" si="17"/>
        <v>32.412396313920624</v>
      </c>
      <c r="G524" s="263">
        <f t="shared" si="17"/>
        <v>41.585383799887275</v>
      </c>
      <c r="H524" s="265">
        <f t="shared" si="16"/>
        <v>0.28300861797209964</v>
      </c>
      <c r="I524" s="267" t="s">
        <v>1279</v>
      </c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15051312.894299999</v>
      </c>
      <c r="C526" s="240">
        <f>AG71</f>
        <v>12433154.700000001</v>
      </c>
      <c r="D526" s="240">
        <f>'Prior Year'!AG59</f>
        <v>51261</v>
      </c>
      <c r="E526" s="180">
        <f>AG59</f>
        <v>46516</v>
      </c>
      <c r="F526" s="263">
        <f t="shared" si="17"/>
        <v>293.62113291391114</v>
      </c>
      <c r="G526" s="263">
        <f t="shared" si="17"/>
        <v>267.28770100610546</v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63934649.649999999</v>
      </c>
      <c r="C529" s="240">
        <f>AJ71</f>
        <v>69109133.170000002</v>
      </c>
      <c r="D529" s="240">
        <f>'Prior Year'!AJ59</f>
        <v>288731</v>
      </c>
      <c r="E529" s="180">
        <f>AJ59</f>
        <v>284074.76</v>
      </c>
      <c r="F529" s="263">
        <f t="shared" si="18"/>
        <v>221.43327058750185</v>
      </c>
      <c r="G529" s="263">
        <f t="shared" si="18"/>
        <v>243.27797784639509</v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455890.36</v>
      </c>
      <c r="C530" s="240">
        <f>AK71</f>
        <v>409292.14</v>
      </c>
      <c r="D530" s="240">
        <f>'Prior Year'!AK59</f>
        <v>13455</v>
      </c>
      <c r="E530" s="180">
        <f>AK59</f>
        <v>11189</v>
      </c>
      <c r="F530" s="263">
        <f t="shared" si="18"/>
        <v>33.882598290598288</v>
      </c>
      <c r="G530" s="263">
        <f t="shared" si="18"/>
        <v>36.579867727232106</v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181284.47</v>
      </c>
      <c r="C531" s="240">
        <f>AL71</f>
        <v>152704.85</v>
      </c>
      <c r="D531" s="240">
        <f>'Prior Year'!AL59</f>
        <v>2659</v>
      </c>
      <c r="E531" s="180">
        <f>AL59</f>
        <v>2188</v>
      </c>
      <c r="F531" s="263">
        <f t="shared" si="18"/>
        <v>68.177687100413692</v>
      </c>
      <c r="G531" s="263">
        <f t="shared" si="18"/>
        <v>69.791978976234006</v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0</v>
      </c>
      <c r="C537" s="240">
        <f>AR71</f>
        <v>60232.07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2947520.0734399999</v>
      </c>
      <c r="C541" s="240">
        <f>AV71</f>
        <v>987854.19000000018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90426.435839999991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0</v>
      </c>
      <c r="C544" s="240">
        <f>AY71</f>
        <v>3169855.88</v>
      </c>
      <c r="D544" s="240">
        <f>'Prior Year'!AY59</f>
        <v>158146</v>
      </c>
      <c r="E544" s="180">
        <f>AY59</f>
        <v>112544</v>
      </c>
      <c r="F544" s="263" t="str">
        <f t="shared" ref="F544:G550" si="19">IF(B544=0,"",IF(D544=0,"",B544/D544))</f>
        <v/>
      </c>
      <c r="G544" s="263">
        <f t="shared" si="19"/>
        <v>28.165480878589705</v>
      </c>
      <c r="H544" s="265" t="str">
        <f t="shared" si="16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2984666.1400000006</v>
      </c>
      <c r="C545" s="240">
        <f>AZ71</f>
        <v>89710</v>
      </c>
      <c r="D545" s="240">
        <f>'Prior Year'!AZ59</f>
        <v>287297</v>
      </c>
      <c r="E545" s="180">
        <f>AZ59</f>
        <v>175864</v>
      </c>
      <c r="F545" s="263">
        <f t="shared" si="19"/>
        <v>10.388782827526917</v>
      </c>
      <c r="G545" s="263">
        <f t="shared" si="19"/>
        <v>0.51011008506573263</v>
      </c>
      <c r="H545" s="265">
        <f t="shared" si="16"/>
        <v>-0.95089799319761448</v>
      </c>
      <c r="I545" s="267" t="s">
        <v>1280</v>
      </c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102978.96</v>
      </c>
      <c r="C546" s="240">
        <f>BA71</f>
        <v>96465.760000000009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439556.11999999994</v>
      </c>
      <c r="C548" s="240">
        <f>BC71</f>
        <v>455364.10000000003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0</v>
      </c>
      <c r="C549" s="240">
        <f>BD71</f>
        <v>365473.71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8418323.9420799986</v>
      </c>
      <c r="C550" s="240">
        <f>BE71</f>
        <v>7192278.5700000003</v>
      </c>
      <c r="D550" s="240">
        <f>'Prior Year'!BE59</f>
        <v>259285</v>
      </c>
      <c r="E550" s="180">
        <f>BE59</f>
        <v>259285</v>
      </c>
      <c r="F550" s="263">
        <f t="shared" si="19"/>
        <v>32.467454507896711</v>
      </c>
      <c r="G550" s="263">
        <f t="shared" si="19"/>
        <v>27.738891837167596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2534083.4099999997</v>
      </c>
      <c r="C551" s="240">
        <f>BF71</f>
        <v>2841728.9899999998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389276.50388000003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1695883.3672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-15814.5</v>
      </c>
      <c r="C554" s="240">
        <f>BI71</f>
        <v>-12515.109999999993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404906.16291999992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2621220.3315065242</v>
      </c>
      <c r="C556" s="240">
        <f>BK71</f>
        <v>15045.31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3542541.3830400002</v>
      </c>
      <c r="C557" s="240">
        <f>BL71</f>
        <v>8895974.1699999999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6510546.2978712199</v>
      </c>
      <c r="C559" s="240">
        <f>BN71</f>
        <v>2286483.85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295139.38695999997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1555366.5328800001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994715.94715999987</v>
      </c>
      <c r="C563" s="240">
        <f>BR71</f>
        <v>574102.87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81550.92203999999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139625.12723999997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48639.972760000011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3649972.7263086676</v>
      </c>
      <c r="C567" s="240">
        <f>BV71</f>
        <v>1133429.5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716660.39091758011</v>
      </c>
      <c r="C568" s="240">
        <f>BW71</f>
        <v>112578.52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4316888.6693151034</v>
      </c>
      <c r="C569" s="240">
        <f>BX71</f>
        <v>3179802.33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1962610.4277999999</v>
      </c>
      <c r="C570" s="240">
        <f>BY71</f>
        <v>3343551.95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138903.95000000001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1237650.8704799998</v>
      </c>
      <c r="C572" s="240">
        <f>CA71</f>
        <v>810397.04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52220.447319999999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16256744.639999999</v>
      </c>
      <c r="C574" s="240">
        <f>CC71</f>
        <v>35790688.950000003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11238713</v>
      </c>
      <c r="C575" s="240">
        <f>CD71</f>
        <v>6166199.9500000011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198897.66999999998</v>
      </c>
      <c r="E612" s="180">
        <f>SUM(C624:D647)+SUM(C668:D713)</f>
        <v>244519679.82978007</v>
      </c>
      <c r="F612" s="180">
        <f>CE64-(AX64+BD64+BE64+BG64+BJ64+BN64+BP64+BQ64+CB64+CC64+CD64)</f>
        <v>34638340.32</v>
      </c>
      <c r="G612" s="180">
        <f>CE77-(AX77+AY77+BD77+BE77+BG77+BJ77+BN77+BP77+BQ77+CB77+CC77+CD77)</f>
        <v>112544</v>
      </c>
      <c r="H612" s="197">
        <f>CE60-(AX60+AY60+AZ60+BD60+BE60+BG60+BJ60+BN60+BO60+BP60+BQ60+BR60+CB60+CC60+CD60)</f>
        <v>1141.8000000000002</v>
      </c>
      <c r="I612" s="180">
        <f>CE78-(AX78+AY78+AZ78+BD78+BE78+BF78+BG78+BJ78+BN78+BO78+BP78+BQ78+BR78+CB78+CC78+CD78)</f>
        <v>71685.97</v>
      </c>
      <c r="J612" s="180">
        <f>CE79-(AX79+AY79+AZ79+BA79+BD79+BE79+BF79+BG79+BJ79+BN79+BO79+BP79+BQ79+BR79+CB79+CC79+CD79)</f>
        <v>1034185.2000000001</v>
      </c>
      <c r="K612" s="180">
        <f>CE75-(AW75+AX75+AY75+AZ75+BA75+BB75+BC75+BD75+BE75+BF75+BG75+BH75+BI75+BJ75+BK75+BL75+BM75+BN75+BO75+BP75+BQ75+BR75+BS75+BT75+BU75+BV75+BW75+BX75+CB75+CC75+CD75)</f>
        <v>1411694050.7800004</v>
      </c>
      <c r="L612" s="197">
        <f>CE80-(AW80+AX80+AY80+AZ80+BA80+BB80+BC80+BD80+BE80+BF80+BG80+BH80+BI80+BJ80+BK80+BL80+BM80+BN80+BO80+BP80+BQ80+BR80+BS80+BT80+BU80+BV80+BW80+BX80+BY80+BZ80+CA80+CB80+CC80+CD80)</f>
        <v>338.47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7192278.5700000003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6166199.9500000011</v>
      </c>
      <c r="D615" s="266">
        <f>SUM(C614:C615)</f>
        <v>13358478.520000001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2286483.85</v>
      </c>
      <c r="D619" s="180">
        <f>(D615/D612)*BN76</f>
        <v>1613512.8902198547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35790688.950000003</v>
      </c>
      <c r="D620" s="180">
        <f>(D615/D612)*CC76</f>
        <v>0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39690685.690219857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365473.71</v>
      </c>
      <c r="D624" s="180">
        <f>(D615/D612)*BD76</f>
        <v>0</v>
      </c>
      <c r="E624" s="180">
        <f>(E623/E612)*SUM(C624:D624)</f>
        <v>59324.068155768487</v>
      </c>
      <c r="F624" s="180">
        <f>SUM(C624:E624)</f>
        <v>424797.77815576852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3169855.88</v>
      </c>
      <c r="D625" s="180">
        <f>(D615/D612)*AY76</f>
        <v>0</v>
      </c>
      <c r="E625" s="180">
        <f>(E623/E612)*SUM(C625:D625)</f>
        <v>514534.26367955026</v>
      </c>
      <c r="F625" s="180">
        <f>(F624/F612)*AY64</f>
        <v>12900.211357732644</v>
      </c>
      <c r="G625" s="180">
        <f>SUM(C625:F625)</f>
        <v>3697290.3550372827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574102.87</v>
      </c>
      <c r="D626" s="180">
        <f>(D615/D612)*BR76</f>
        <v>0</v>
      </c>
      <c r="E626" s="180">
        <f>(E623/E612)*SUM(C626:D626)</f>
        <v>93188.967787319896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89710</v>
      </c>
      <c r="D628" s="180">
        <f>(D615/D612)*AZ76</f>
        <v>383363.94484741834</v>
      </c>
      <c r="E628" s="180">
        <f>(E623/E612)*SUM(C628:D628)</f>
        <v>76789.848842606239</v>
      </c>
      <c r="F628" s="180">
        <f>(F624/F612)*AZ64</f>
        <v>0</v>
      </c>
      <c r="G628" s="180">
        <f>(G625/G612)*AZ77</f>
        <v>0</v>
      </c>
      <c r="H628" s="180">
        <f>SUM(C626:G628)</f>
        <v>1217155.6314773445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2841728.9899999998</v>
      </c>
      <c r="D629" s="180">
        <f>(D615/D612)*BF76</f>
        <v>41976.605733993776</v>
      </c>
      <c r="E629" s="180">
        <f>(E623/E612)*SUM(C629:D629)</f>
        <v>468086.05549902451</v>
      </c>
      <c r="F629" s="180">
        <f>(F624/F612)*BF64</f>
        <v>2756.372235145127</v>
      </c>
      <c r="G629" s="180">
        <f>(G625/G612)*BF77</f>
        <v>0</v>
      </c>
      <c r="H629" s="180">
        <f>(H628/H612)*BF60</f>
        <v>36595.684733418486</v>
      </c>
      <c r="I629" s="180">
        <f>SUM(C629:H629)</f>
        <v>3391143.7082015816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96465.760000000009</v>
      </c>
      <c r="D630" s="180">
        <f>(D615/D612)*BA76</f>
        <v>145003.98684750812</v>
      </c>
      <c r="E630" s="180">
        <f>(E623/E612)*SUM(C630:D630)</f>
        <v>39195.617434528285</v>
      </c>
      <c r="F630" s="180">
        <f>(F624/F612)*BA64</f>
        <v>0</v>
      </c>
      <c r="G630" s="180">
        <f>(G625/G612)*BA77</f>
        <v>0</v>
      </c>
      <c r="H630" s="180">
        <f>(H628/H612)*BA60</f>
        <v>1087.3171694752943</v>
      </c>
      <c r="I630" s="180">
        <f>(I629/I612)*BA78</f>
        <v>43969.082687478789</v>
      </c>
      <c r="J630" s="180">
        <f>SUM(C630:I630)</f>
        <v>325721.76413899055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455364.10000000003</v>
      </c>
      <c r="D633" s="180">
        <f>(D615/D612)*BC76</f>
        <v>0</v>
      </c>
      <c r="E633" s="180">
        <f>(E623/E612)*SUM(C633:D633)</f>
        <v>73915.168628928674</v>
      </c>
      <c r="F633" s="180">
        <f>(F624/F612)*BC64</f>
        <v>2.6773108091336471</v>
      </c>
      <c r="G633" s="180">
        <f>(G625/G612)*BC77</f>
        <v>0</v>
      </c>
      <c r="H633" s="180">
        <f>(H628/H612)*BC60</f>
        <v>7142.1814073377182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-12515.109999999993</v>
      </c>
      <c r="D634" s="180">
        <f>(D615/D612)*BI76</f>
        <v>32506.683480404779</v>
      </c>
      <c r="E634" s="180">
        <f>(E623/E612)*SUM(C634:D634)</f>
        <v>3245.0527500119974</v>
      </c>
      <c r="F634" s="180">
        <f>(F624/F612)*BI64</f>
        <v>610.54962514941042</v>
      </c>
      <c r="G634" s="180">
        <f>(G625/G612)*BI77</f>
        <v>0</v>
      </c>
      <c r="H634" s="180">
        <f>(H628/H612)*BI60</f>
        <v>0</v>
      </c>
      <c r="I634" s="180">
        <f>(I629/I612)*BI78</f>
        <v>9857.0559131440023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15045.31</v>
      </c>
      <c r="D635" s="180">
        <f>(D615/D612)*BK76</f>
        <v>0</v>
      </c>
      <c r="E635" s="180">
        <f>(E623/E612)*SUM(C635:D635)</f>
        <v>2442.1701792576682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8895974.1699999999</v>
      </c>
      <c r="D637" s="180">
        <f>(D615/D612)*BL76</f>
        <v>0</v>
      </c>
      <c r="E637" s="180">
        <f>(E623/E612)*SUM(C637:D637)</f>
        <v>1444003.6684801104</v>
      </c>
      <c r="F637" s="180">
        <f>(F624/F612)*BL64</f>
        <v>411.24651731285729</v>
      </c>
      <c r="G637" s="180">
        <f>(G625/G612)*BL77</f>
        <v>0</v>
      </c>
      <c r="H637" s="180">
        <f>(H628/H612)*BL60</f>
        <v>1961.4348939554332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1133429.5</v>
      </c>
      <c r="D642" s="180">
        <f>(D615/D612)*BV76</f>
        <v>172607.80277818241</v>
      </c>
      <c r="E642" s="180">
        <f>(E623/E612)*SUM(C642:D642)</f>
        <v>211997.31702723276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52339.325396466171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112578.52</v>
      </c>
      <c r="D643" s="180">
        <f>(D615/D612)*BW76</f>
        <v>0</v>
      </c>
      <c r="E643" s="180">
        <f>(E623/E612)*SUM(C643:D643)</f>
        <v>18273.86104832423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3179802.33</v>
      </c>
      <c r="D644" s="180">
        <f>(D615/D612)*BX76</f>
        <v>0</v>
      </c>
      <c r="E644" s="180">
        <f>(E623/E612)*SUM(C644:D644)</f>
        <v>516148.78166418982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16327143.797100816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3343551.95</v>
      </c>
      <c r="D645" s="180">
        <f>(D615/D612)*BY76</f>
        <v>99534.927516446041</v>
      </c>
      <c r="E645" s="180">
        <f>(E623/E612)*SUM(C645:D645)</f>
        <v>558885.39995946013</v>
      </c>
      <c r="F645" s="180">
        <f>(F624/F612)*BY64</f>
        <v>197.15890453909111</v>
      </c>
      <c r="G645" s="180">
        <f>(G625/G612)*BY77</f>
        <v>0</v>
      </c>
      <c r="H645" s="180">
        <f>(H628/H612)*BY60</f>
        <v>27481.40845987558</v>
      </c>
      <c r="I645" s="180">
        <f>(I629/I612)*BY78</f>
        <v>30181.409239069944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138903.95000000001</v>
      </c>
      <c r="D646" s="180">
        <f>(D615/D612)*BZ76</f>
        <v>0</v>
      </c>
      <c r="E646" s="180">
        <f>(E623/E612)*SUM(C646:D646)</f>
        <v>22547.031897056175</v>
      </c>
      <c r="F646" s="180">
        <f>(F624/F612)*BZ64</f>
        <v>0.9771798143546746</v>
      </c>
      <c r="G646" s="180">
        <f>(G625/G612)*BZ77</f>
        <v>0</v>
      </c>
      <c r="H646" s="180">
        <f>(H628/H612)*BZ60</f>
        <v>2025.3947274539798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810397.04</v>
      </c>
      <c r="D647" s="180">
        <f>(D615/D612)*CA76</f>
        <v>0</v>
      </c>
      <c r="E647" s="180">
        <f>(E623/E612)*SUM(C647:D647)</f>
        <v>131544.48026971088</v>
      </c>
      <c r="F647" s="180">
        <f>(F624/F612)*CA64</f>
        <v>0</v>
      </c>
      <c r="G647" s="180">
        <f>(G625/G612)*CA77</f>
        <v>0</v>
      </c>
      <c r="H647" s="180">
        <f>(H628/H612)*CA60</f>
        <v>5820.344848367753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5171071.473001793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76645520.290000021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8494673.6499999985</v>
      </c>
      <c r="D668" s="180">
        <f>(D615/D612)*C76</f>
        <v>746310.46866582218</v>
      </c>
      <c r="E668" s="180">
        <f>(E623/E612)*SUM(C668:D668)</f>
        <v>1500006.0378682376</v>
      </c>
      <c r="F668" s="180">
        <f>(F624/F612)*C64</f>
        <v>7189.7513288900773</v>
      </c>
      <c r="G668" s="180">
        <f>(G625/G612)*C77</f>
        <v>209102.68970191482</v>
      </c>
      <c r="H668" s="180">
        <f>(H628/H612)*C60</f>
        <v>45315.542033720354</v>
      </c>
      <c r="I668" s="180">
        <f>(I629/I612)*C78</f>
        <v>226300.72778162602</v>
      </c>
      <c r="J668" s="180">
        <f>(J630/J612)*C79</f>
        <v>0</v>
      </c>
      <c r="K668" s="180">
        <f>(K644/K612)*C75</f>
        <v>329868.09355274425</v>
      </c>
      <c r="L668" s="180">
        <f>(L647/L612)*C80</f>
        <v>480333.52176315885</v>
      </c>
      <c r="M668" s="180">
        <f t="shared" ref="M668:M713" si="20">ROUND(SUM(D668:L668),0)</f>
        <v>3544427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25888993.41</v>
      </c>
      <c r="D670" s="180">
        <f>(D615/D612)*E76</f>
        <v>3284957.5261067711</v>
      </c>
      <c r="E670" s="180">
        <f>(E623/E612)*SUM(C670:D670)</f>
        <v>4735545.694125697</v>
      </c>
      <c r="F670" s="180">
        <f>(F624/F612)*E64</f>
        <v>14657.768222738856</v>
      </c>
      <c r="G670" s="180">
        <f>(G625/G612)*E77</f>
        <v>1664707.0848806174</v>
      </c>
      <c r="H670" s="180">
        <f>(H628/H612)*E60</f>
        <v>225191.9137761333</v>
      </c>
      <c r="I670" s="180">
        <f>(I629/I612)*E78</f>
        <v>996085.37347335799</v>
      </c>
      <c r="J670" s="180">
        <f>(J630/J612)*E79</f>
        <v>92471.218851011814</v>
      </c>
      <c r="K670" s="180">
        <f>(K644/K612)*E75</f>
        <v>1457642.2582835818</v>
      </c>
      <c r="L670" s="180">
        <f>(L647/L612)*E80</f>
        <v>1853042.3935958503</v>
      </c>
      <c r="M670" s="180">
        <f t="shared" si="20"/>
        <v>14324301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8901123.2599999998</v>
      </c>
      <c r="D680" s="180">
        <f>(D615/D612)*O76</f>
        <v>285709.56926785526</v>
      </c>
      <c r="E680" s="180">
        <f>(E623/E612)*SUM(C680:D680)</f>
        <v>1491216.144929105</v>
      </c>
      <c r="F680" s="180">
        <f>(F624/F612)*O64</f>
        <v>6137.1127032611821</v>
      </c>
      <c r="G680" s="180">
        <f>(G625/G612)*O77</f>
        <v>228025.41543142041</v>
      </c>
      <c r="H680" s="180">
        <f>(H628/H612)*O60</f>
        <v>56689.732424211921</v>
      </c>
      <c r="I680" s="180">
        <f>(I629/I612)*O78</f>
        <v>61707.24199904767</v>
      </c>
      <c r="J680" s="180">
        <f>(J630/J612)*O79</f>
        <v>35378.201539791269</v>
      </c>
      <c r="K680" s="180">
        <f>(K644/K612)*O75</f>
        <v>532979.2677525545</v>
      </c>
      <c r="L680" s="180">
        <f>(L647/L612)*O80</f>
        <v>540527.98982126464</v>
      </c>
      <c r="M680" s="180">
        <f t="shared" si="20"/>
        <v>3238371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39824211.169999994</v>
      </c>
      <c r="D681" s="180">
        <f>(D615/D612)*P76</f>
        <v>1583021.7554403732</v>
      </c>
      <c r="E681" s="180">
        <f>(E623/E612)*SUM(C681:D681)</f>
        <v>6721264.5971460035</v>
      </c>
      <c r="F681" s="180">
        <f>(F624/F612)*P64</f>
        <v>204119.21029484706</v>
      </c>
      <c r="G681" s="180">
        <f>(G625/G612)*P77</f>
        <v>819163.48275212036</v>
      </c>
      <c r="H681" s="180">
        <f>(H628/H612)*P60</f>
        <v>101951.97459668349</v>
      </c>
      <c r="I681" s="180">
        <f>(I629/I612)*P78</f>
        <v>480017.85583690816</v>
      </c>
      <c r="J681" s="180">
        <f>(J630/J612)*P79</f>
        <v>85349.935899341872</v>
      </c>
      <c r="K681" s="180">
        <f>(K644/K612)*P75</f>
        <v>4689770.7333725793</v>
      </c>
      <c r="L681" s="180">
        <f>(L647/L612)*P80</f>
        <v>610958.57300600258</v>
      </c>
      <c r="M681" s="180">
        <f t="shared" si="20"/>
        <v>15295618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4199258.26</v>
      </c>
      <c r="D682" s="180">
        <f>(D615/D612)*Q76</f>
        <v>83147.260637894869</v>
      </c>
      <c r="E682" s="180">
        <f>(E623/E612)*SUM(C682:D682)</f>
        <v>695124.46456671727</v>
      </c>
      <c r="F682" s="180">
        <f>(F624/F612)*Q64</f>
        <v>2896.8755589165617</v>
      </c>
      <c r="G682" s="180">
        <f>(G625/G612)*Q77</f>
        <v>0</v>
      </c>
      <c r="H682" s="180">
        <f>(H628/H612)*Q60</f>
        <v>27982.427155614194</v>
      </c>
      <c r="I682" s="180">
        <f>(I629/I612)*Q78</f>
        <v>25212.435043568454</v>
      </c>
      <c r="J682" s="180">
        <f>(J630/J612)*Q79</f>
        <v>1955.1238934014159</v>
      </c>
      <c r="K682" s="180">
        <f>(K644/K612)*Q75</f>
        <v>279027.78954548022</v>
      </c>
      <c r="L682" s="180">
        <f>(L647/L612)*Q80</f>
        <v>279583.44301099895</v>
      </c>
      <c r="M682" s="180">
        <f t="shared" si="20"/>
        <v>1394930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956637.26000000013</v>
      </c>
      <c r="D684" s="180">
        <f>(D615/D612)*S76</f>
        <v>374229.83543970133</v>
      </c>
      <c r="E684" s="180">
        <f>(E623/E612)*SUM(C684:D684)</f>
        <v>216027.71448631553</v>
      </c>
      <c r="F684" s="180">
        <f>(F624/F612)*S64</f>
        <v>-4152.735332129625</v>
      </c>
      <c r="G684" s="180">
        <f>(G625/G612)*S77</f>
        <v>0</v>
      </c>
      <c r="H684" s="180">
        <f>(H628/H612)*S60</f>
        <v>16640.216681871909</v>
      </c>
      <c r="I684" s="180">
        <f>(I629/I612)*S78</f>
        <v>113476.53560709236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716222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673994.42999999993</v>
      </c>
      <c r="D685" s="180">
        <f>(D615/D612)*T76</f>
        <v>0</v>
      </c>
      <c r="E685" s="180">
        <f>(E623/E612)*SUM(C685:D685)</f>
        <v>109403.46845174808</v>
      </c>
      <c r="F685" s="180">
        <f>(F624/F612)*T64</f>
        <v>3432.2297992778499</v>
      </c>
      <c r="G685" s="180">
        <f>(G625/G612)*T77</f>
        <v>0</v>
      </c>
      <c r="H685" s="180">
        <f>(H628/H612)*T60</f>
        <v>2792.9127294365408</v>
      </c>
      <c r="I685" s="180">
        <f>(I629/I612)*T78</f>
        <v>0</v>
      </c>
      <c r="J685" s="180">
        <f>(J630/J612)*T79</f>
        <v>0</v>
      </c>
      <c r="K685" s="180">
        <f>(K644/K612)*T75</f>
        <v>49648.194270365871</v>
      </c>
      <c r="L685" s="180">
        <f>(L647/L612)*T80</f>
        <v>34527.791322669807</v>
      </c>
      <c r="M685" s="180">
        <f t="shared" si="20"/>
        <v>199805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5938361.3800000008</v>
      </c>
      <c r="D686" s="180">
        <f>(D615/D612)*U76</f>
        <v>450728.00172933156</v>
      </c>
      <c r="E686" s="180">
        <f>(E623/E612)*SUM(C686:D686)</f>
        <v>1037083.5536569995</v>
      </c>
      <c r="F686" s="180">
        <f>(F624/F612)*U64</f>
        <v>19329.214833602455</v>
      </c>
      <c r="G686" s="180">
        <f>(G625/G612)*U77</f>
        <v>0</v>
      </c>
      <c r="H686" s="180">
        <f>(H628/H612)*U60</f>
        <v>27449.428543126305</v>
      </c>
      <c r="I686" s="180">
        <f>(I629/I612)*U78</f>
        <v>136672.33536929914</v>
      </c>
      <c r="J686" s="180">
        <f>(J630/J612)*U79</f>
        <v>0</v>
      </c>
      <c r="K686" s="180">
        <f>(K644/K612)*U75</f>
        <v>801126.11648385366</v>
      </c>
      <c r="L686" s="180">
        <f>(L647/L612)*U80</f>
        <v>0</v>
      </c>
      <c r="M686" s="180">
        <f t="shared" si="20"/>
        <v>2472389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965678.27</v>
      </c>
      <c r="D687" s="180">
        <f>(D615/D612)*V76</f>
        <v>0</v>
      </c>
      <c r="E687" s="180">
        <f>(E623/E612)*SUM(C687:D687)</f>
        <v>156749.88908511258</v>
      </c>
      <c r="F687" s="180">
        <f>(F624/F612)*V64</f>
        <v>1102.6014812448473</v>
      </c>
      <c r="G687" s="180">
        <f>(G625/G612)*V77</f>
        <v>0</v>
      </c>
      <c r="H687" s="180">
        <f>(H628/H612)*V60</f>
        <v>5436.585847376472</v>
      </c>
      <c r="I687" s="180">
        <f>(I629/I612)*V78</f>
        <v>0</v>
      </c>
      <c r="J687" s="180">
        <f>(J630/J612)*V79</f>
        <v>0</v>
      </c>
      <c r="K687" s="180">
        <f>(K644/K612)*V75</f>
        <v>177613.78304214604</v>
      </c>
      <c r="L687" s="180">
        <f>(L647/L612)*V80</f>
        <v>11458.337828319629</v>
      </c>
      <c r="M687" s="180">
        <f t="shared" si="20"/>
        <v>352361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764868.88</v>
      </c>
      <c r="D688" s="180">
        <f>(D615/D612)*W76</f>
        <v>0</v>
      </c>
      <c r="E688" s="180">
        <f>(E623/E612)*SUM(C688:D688)</f>
        <v>124154.30255529545</v>
      </c>
      <c r="F688" s="180">
        <f>(F624/F612)*W64</f>
        <v>356.31804790634004</v>
      </c>
      <c r="G688" s="180">
        <f>(G625/G612)*W77</f>
        <v>0</v>
      </c>
      <c r="H688" s="180">
        <f>(H628/H612)*W60</f>
        <v>3464.4909811712814</v>
      </c>
      <c r="I688" s="180">
        <f>(I629/I612)*W78</f>
        <v>0</v>
      </c>
      <c r="J688" s="180">
        <f>(J630/J612)*W79</f>
        <v>0</v>
      </c>
      <c r="K688" s="180">
        <f>(K644/K612)*W75</f>
        <v>232620.50013609725</v>
      </c>
      <c r="L688" s="180">
        <f>(L647/L612)*W80</f>
        <v>0</v>
      </c>
      <c r="M688" s="180">
        <f t="shared" si="20"/>
        <v>360596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1464667.45</v>
      </c>
      <c r="D689" s="180">
        <f>(D615/D612)*X76</f>
        <v>52856.941940244964</v>
      </c>
      <c r="E689" s="180">
        <f>(E623/E612)*SUM(C689:D689)</f>
        <v>246326.11865708267</v>
      </c>
      <c r="F689" s="180">
        <f>(F624/F612)*X64</f>
        <v>2400.1568352689842</v>
      </c>
      <c r="G689" s="180">
        <f>(G625/G612)*X77</f>
        <v>0</v>
      </c>
      <c r="H689" s="180">
        <f>(H628/H612)*X60</f>
        <v>8432.0380495584104</v>
      </c>
      <c r="I689" s="180">
        <f>(I629/I612)*X78</f>
        <v>16027.590890878339</v>
      </c>
      <c r="J689" s="180">
        <f>(J630/J612)*X79</f>
        <v>0</v>
      </c>
      <c r="K689" s="180">
        <f>(K644/K612)*X75</f>
        <v>1327794.2181161642</v>
      </c>
      <c r="L689" s="180">
        <f>(L647/L612)*X80</f>
        <v>0</v>
      </c>
      <c r="M689" s="180">
        <f t="shared" si="20"/>
        <v>1653837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6053115.7599999998</v>
      </c>
      <c r="D690" s="180">
        <f>(D615/D612)*Y76</f>
        <v>1652064.8765516463</v>
      </c>
      <c r="E690" s="180">
        <f>(E623/E612)*SUM(C690:D690)</f>
        <v>1250712.8385111408</v>
      </c>
      <c r="F690" s="180">
        <f>(F624/F612)*Y64</f>
        <v>1582.9253399975946</v>
      </c>
      <c r="G690" s="180">
        <f>(G625/G612)*Y77</f>
        <v>0</v>
      </c>
      <c r="H690" s="180">
        <f>(H628/H612)*Y60</f>
        <v>34751.509534210396</v>
      </c>
      <c r="I690" s="180">
        <f>(I629/I612)*Y78</f>
        <v>500952.92371789808</v>
      </c>
      <c r="J690" s="180">
        <f>(J630/J612)*Y79</f>
        <v>17156.463104966304</v>
      </c>
      <c r="K690" s="180">
        <f>(K644/K612)*Y75</f>
        <v>510843.21422366903</v>
      </c>
      <c r="L690" s="180">
        <f>(L647/L612)*Y80</f>
        <v>0</v>
      </c>
      <c r="M690" s="180">
        <f t="shared" si="20"/>
        <v>3968065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3514403.1100000003</v>
      </c>
      <c r="D691" s="180">
        <f>(D615/D612)*Z76</f>
        <v>0</v>
      </c>
      <c r="E691" s="180">
        <f>(E623/E612)*SUM(C691:D691)</f>
        <v>570461.52409836743</v>
      </c>
      <c r="F691" s="180">
        <f>(F624/F612)*Z64</f>
        <v>370.39149755193301</v>
      </c>
      <c r="G691" s="180">
        <f>(G625/G612)*Z77</f>
        <v>0</v>
      </c>
      <c r="H691" s="180">
        <f>(H628/H612)*Z60</f>
        <v>5585.8254588730815</v>
      </c>
      <c r="I691" s="180">
        <f>(I629/I612)*Z78</f>
        <v>0</v>
      </c>
      <c r="J691" s="180">
        <f>(J630/J612)*Z79</f>
        <v>0</v>
      </c>
      <c r="K691" s="180">
        <f>(K644/K612)*Z75</f>
        <v>274600.64485637069</v>
      </c>
      <c r="L691" s="180">
        <f>(L647/L612)*Z80</f>
        <v>17569.451336756763</v>
      </c>
      <c r="M691" s="180">
        <f t="shared" si="20"/>
        <v>868588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1177220.29</v>
      </c>
      <c r="D692" s="180">
        <f>(D615/D612)*AA76</f>
        <v>52924.104509419354</v>
      </c>
      <c r="E692" s="180">
        <f>(E623/E612)*SUM(C692:D692)</f>
        <v>199678.30217203131</v>
      </c>
      <c r="F692" s="180">
        <f>(F624/F612)*AA64</f>
        <v>3042.7239385400085</v>
      </c>
      <c r="G692" s="180">
        <f>(G625/G612)*AA77</f>
        <v>0</v>
      </c>
      <c r="H692" s="180">
        <f>(H628/H612)*AA60</f>
        <v>3261.9515084258833</v>
      </c>
      <c r="I692" s="180">
        <f>(I629/I612)*AA78</f>
        <v>16047.932274199604</v>
      </c>
      <c r="J692" s="180">
        <f>(J630/J612)*AA79</f>
        <v>0</v>
      </c>
      <c r="K692" s="180">
        <f>(K644/K612)*AA75</f>
        <v>118025.55606297051</v>
      </c>
      <c r="L692" s="180">
        <f>(L647/L612)*AA80</f>
        <v>0</v>
      </c>
      <c r="M692" s="180">
        <f t="shared" si="20"/>
        <v>392981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10045940.379999999</v>
      </c>
      <c r="D693" s="180">
        <f>(D615/D612)*AB76</f>
        <v>557785.13699330937</v>
      </c>
      <c r="E693" s="180">
        <f>(E623/E612)*SUM(C693:D693)</f>
        <v>1721207.6219522669</v>
      </c>
      <c r="F693" s="180">
        <f>(F624/F612)*AB64</f>
        <v>84232.94304332108</v>
      </c>
      <c r="G693" s="180">
        <f>(G625/G612)*AB77</f>
        <v>0</v>
      </c>
      <c r="H693" s="180">
        <f>(H628/H612)*AB60</f>
        <v>25296.114148675231</v>
      </c>
      <c r="I693" s="180">
        <f>(I629/I612)*AB78</f>
        <v>169144.75203685477</v>
      </c>
      <c r="J693" s="180">
        <f>(J630/J612)*AB79</f>
        <v>0</v>
      </c>
      <c r="K693" s="180">
        <f>(K644/K612)*AB75</f>
        <v>1750839.6575115614</v>
      </c>
      <c r="L693" s="180">
        <f>(L647/L612)*AB80</f>
        <v>0</v>
      </c>
      <c r="M693" s="180">
        <f t="shared" si="20"/>
        <v>4308506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1758121.28</v>
      </c>
      <c r="D694" s="180">
        <f>(D615/D612)*AC76</f>
        <v>79587.644471652195</v>
      </c>
      <c r="E694" s="180">
        <f>(E623/E612)*SUM(C694:D694)</f>
        <v>298298.8009885042</v>
      </c>
      <c r="F694" s="180">
        <f>(F624/F612)*AC64</f>
        <v>2558.1617095081324</v>
      </c>
      <c r="G694" s="180">
        <f>(G625/G612)*AC77</f>
        <v>0</v>
      </c>
      <c r="H694" s="180">
        <f>(H628/H612)*AC60</f>
        <v>13133.085811701596</v>
      </c>
      <c r="I694" s="180">
        <f>(I629/I612)*AC78</f>
        <v>24132.922561263196</v>
      </c>
      <c r="J694" s="180">
        <f>(J630/J612)*AC79</f>
        <v>0</v>
      </c>
      <c r="K694" s="180">
        <f>(K644/K612)*AC75</f>
        <v>318163.7843720435</v>
      </c>
      <c r="L694" s="180">
        <f>(L647/L612)*AC80</f>
        <v>0</v>
      </c>
      <c r="M694" s="180">
        <f t="shared" si="20"/>
        <v>735874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692346.24</v>
      </c>
      <c r="D695" s="180">
        <f>(D615/D612)*AD76</f>
        <v>0</v>
      </c>
      <c r="E695" s="180">
        <f>(E623/E612)*SUM(C695:D695)</f>
        <v>112382.35310865464</v>
      </c>
      <c r="F695" s="180">
        <f>(F624/F612)*AD64</f>
        <v>153.06918412763739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28202.618759103829</v>
      </c>
      <c r="L695" s="180">
        <f>(L647/L612)*AD80</f>
        <v>0</v>
      </c>
      <c r="M695" s="180">
        <f t="shared" si="20"/>
        <v>140738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3098859.63</v>
      </c>
      <c r="D696" s="180">
        <f>(D615/D612)*AE76</f>
        <v>662030.84711164702</v>
      </c>
      <c r="E696" s="180">
        <f>(E623/E612)*SUM(C696:D696)</f>
        <v>610471.60681010957</v>
      </c>
      <c r="F696" s="180">
        <f>(F624/F612)*AE64</f>
        <v>212.03833131068049</v>
      </c>
      <c r="G696" s="180">
        <f>(G625/G612)*AE77</f>
        <v>0</v>
      </c>
      <c r="H696" s="180">
        <f>(H628/H612)*AE60</f>
        <v>20307.247135788588</v>
      </c>
      <c r="I696" s="180">
        <f>(I629/I612)*AE78</f>
        <v>200745.32755415249</v>
      </c>
      <c r="J696" s="180">
        <f>(J630/J612)*AE79</f>
        <v>0</v>
      </c>
      <c r="K696" s="180">
        <f>(K644/K612)*AE75</f>
        <v>156040.3055577531</v>
      </c>
      <c r="L696" s="180">
        <f>(L647/L612)*AE80</f>
        <v>0</v>
      </c>
      <c r="M696" s="180">
        <f t="shared" si="20"/>
        <v>1649807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12433154.700000001</v>
      </c>
      <c r="D698" s="180">
        <f>(D615/D612)*AG76</f>
        <v>682841.84079602361</v>
      </c>
      <c r="E698" s="180">
        <f>(E623/E612)*SUM(C698:D698)</f>
        <v>2129002.0360616557</v>
      </c>
      <c r="F698" s="180">
        <f>(F624/F612)*AG64</f>
        <v>16589.430250333604</v>
      </c>
      <c r="G698" s="180">
        <f>(G625/G612)*AG77</f>
        <v>212716.40468498014</v>
      </c>
      <c r="H698" s="180">
        <f>(H628/H612)*AG60</f>
        <v>69161.899956428533</v>
      </c>
      <c r="I698" s="180">
        <f>(I629/I612)*AG78</f>
        <v>207055.41388257922</v>
      </c>
      <c r="J698" s="180">
        <f>(J630/J612)*AG79</f>
        <v>87294.578091486546</v>
      </c>
      <c r="K698" s="180">
        <f>(K644/K612)*AG75</f>
        <v>1909085.2020818144</v>
      </c>
      <c r="L698" s="180">
        <f>(L647/L612)*AG80</f>
        <v>530597.43037005421</v>
      </c>
      <c r="M698" s="180">
        <f t="shared" si="20"/>
        <v>5844344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69109133.170000002</v>
      </c>
      <c r="D701" s="180">
        <f>(D615/D612)*AJ76</f>
        <v>0</v>
      </c>
      <c r="E701" s="180">
        <f>(E623/E612)*SUM(C701:D701)</f>
        <v>11217865.510389682</v>
      </c>
      <c r="F701" s="180">
        <f>(F624/F612)*AJ64</f>
        <v>37616.384146599172</v>
      </c>
      <c r="G701" s="180">
        <f>(G625/G612)*AJ77</f>
        <v>689.8910422215572</v>
      </c>
      <c r="H701" s="180">
        <f>(H628/H612)*AJ60</f>
        <v>416527.75568703585</v>
      </c>
      <c r="I701" s="180">
        <f>(I629/I612)*AJ78</f>
        <v>0</v>
      </c>
      <c r="J701" s="180">
        <f>(J630/J612)*AJ79</f>
        <v>0</v>
      </c>
      <c r="K701" s="180">
        <f>(K644/K612)*AJ75</f>
        <v>1339255.4172177091</v>
      </c>
      <c r="L701" s="180">
        <f>(L647/L612)*AJ80</f>
        <v>688111.38105002139</v>
      </c>
      <c r="M701" s="180">
        <f t="shared" si="20"/>
        <v>13700066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409292.14</v>
      </c>
      <c r="D702" s="180">
        <f>(D615/D612)*AK76</f>
        <v>221502.15313713838</v>
      </c>
      <c r="E702" s="180">
        <f>(E623/E612)*SUM(C702:D702)</f>
        <v>102391.1778451517</v>
      </c>
      <c r="F702" s="180">
        <f>(F624/F612)*AK64</f>
        <v>25.000743297529521</v>
      </c>
      <c r="G702" s="180">
        <f>(G625/G612)*AK77</f>
        <v>0</v>
      </c>
      <c r="H702" s="180">
        <f>(H628/H612)*AK60</f>
        <v>3102.0519246795166</v>
      </c>
      <c r="I702" s="180">
        <f>(I629/I612)*AK78</f>
        <v>67165.355505111656</v>
      </c>
      <c r="J702" s="180">
        <f>(J630/J612)*AK79</f>
        <v>3740.4177702264715</v>
      </c>
      <c r="K702" s="180">
        <f>(K644/K612)*AK75</f>
        <v>29896.300420923031</v>
      </c>
      <c r="L702" s="180">
        <f>(L647/L612)*AK80</f>
        <v>0</v>
      </c>
      <c r="M702" s="180">
        <f t="shared" si="20"/>
        <v>427822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152704.85</v>
      </c>
      <c r="D703" s="180">
        <f>(D615/D612)*AL76</f>
        <v>46342.172730329126</v>
      </c>
      <c r="E703" s="180">
        <f>(E623/E612)*SUM(C703:D703)</f>
        <v>32309.517263654459</v>
      </c>
      <c r="F703" s="180">
        <f>(F624/F612)*AL64</f>
        <v>0.50551395516691366</v>
      </c>
      <c r="G703" s="180">
        <f>(G625/G612)*AL77</f>
        <v>0</v>
      </c>
      <c r="H703" s="180">
        <f>(H628/H612)*AL60</f>
        <v>1300.5166144704501</v>
      </c>
      <c r="I703" s="180">
        <f>(I629/I612)*AL78</f>
        <v>14052.111431585285</v>
      </c>
      <c r="J703" s="180">
        <f>(J630/J612)*AL79</f>
        <v>0</v>
      </c>
      <c r="K703" s="180">
        <f>(K644/K612)*AL75</f>
        <v>12102.57068811219</v>
      </c>
      <c r="L703" s="180">
        <f>(L647/L612)*AL80</f>
        <v>0</v>
      </c>
      <c r="M703" s="180">
        <f t="shared" si="20"/>
        <v>106107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60232.07</v>
      </c>
      <c r="D709" s="180">
        <f>(D615/D612)*AR76</f>
        <v>0</v>
      </c>
      <c r="E709" s="180">
        <f>(E623/E612)*SUM(C709:D709)</f>
        <v>9776.931494861883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9777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987854.19000000018</v>
      </c>
      <c r="D713" s="180">
        <f>(D615/D612)*AV76</f>
        <v>53931.543047035208</v>
      </c>
      <c r="E713" s="180">
        <f>(E623/E612)*SUM(C713:D713)</f>
        <v>169103.73069239251</v>
      </c>
      <c r="F713" s="180">
        <f>(F624/F612)*AV64</f>
        <v>4066.5075528987909</v>
      </c>
      <c r="G713" s="180">
        <f>(G625/G612)*AV77</f>
        <v>562885.38654400769</v>
      </c>
      <c r="H713" s="180">
        <f>(H628/H612)*AV60</f>
        <v>21266.644638266789</v>
      </c>
      <c r="I713" s="180">
        <f>(I629/I612)*AV78</f>
        <v>0</v>
      </c>
      <c r="J713" s="180">
        <f>(J630/J612)*AV79</f>
        <v>2375.824988764854</v>
      </c>
      <c r="K713" s="180">
        <f>(K644/K612)*AV75</f>
        <v>1997.5707932115461</v>
      </c>
      <c r="L713" s="180">
        <f>(L647/L612)*AV80</f>
        <v>124361.15989669571</v>
      </c>
      <c r="M713" s="180">
        <f t="shared" si="20"/>
        <v>939988</v>
      </c>
      <c r="N713" s="199" t="s">
        <v>741</v>
      </c>
    </row>
    <row r="715" spans="1:83" ht="12.6" customHeight="1" x14ac:dyDescent="0.2">
      <c r="C715" s="180">
        <f>SUM(C614:C647)+SUM(C668:C713)</f>
        <v>284210365.51999998</v>
      </c>
      <c r="D715" s="180">
        <f>SUM(D616:D647)+SUM(D668:D713)</f>
        <v>13358478.520000003</v>
      </c>
      <c r="E715" s="180">
        <f>SUM(E624:E647)+SUM(E668:E713)</f>
        <v>39690685.690219857</v>
      </c>
      <c r="F715" s="180">
        <f>SUM(F625:F648)+SUM(F668:F713)</f>
        <v>424797.77815576841</v>
      </c>
      <c r="G715" s="180">
        <f>SUM(G626:G647)+SUM(G668:G713)</f>
        <v>3697290.3550372818</v>
      </c>
      <c r="H715" s="180">
        <f>SUM(H629:H647)+SUM(H668:H713)</f>
        <v>1217155.6314773443</v>
      </c>
      <c r="I715" s="180">
        <f>SUM(I630:I647)+SUM(I668:I713)</f>
        <v>3391143.7082015807</v>
      </c>
      <c r="J715" s="180">
        <f>SUM(J631:J647)+SUM(J668:J713)</f>
        <v>325721.76413899055</v>
      </c>
      <c r="K715" s="180">
        <f>SUM(K668:K713)</f>
        <v>16327143.79710081</v>
      </c>
      <c r="L715" s="180">
        <f>SUM(L668:L713)</f>
        <v>5171071.473001793</v>
      </c>
      <c r="M715" s="180">
        <f>SUM(M668:M713)</f>
        <v>76645520</v>
      </c>
      <c r="N715" s="198" t="s">
        <v>742</v>
      </c>
    </row>
    <row r="716" spans="1:83" ht="12.6" customHeight="1" x14ac:dyDescent="0.2">
      <c r="C716" s="180">
        <f>CE71</f>
        <v>284210365.52000004</v>
      </c>
      <c r="D716" s="180">
        <f>D615</f>
        <v>13358478.520000001</v>
      </c>
      <c r="E716" s="180">
        <f>E623</f>
        <v>39690685.690219857</v>
      </c>
      <c r="F716" s="180">
        <f>F624</f>
        <v>424797.77815576852</v>
      </c>
      <c r="G716" s="180">
        <f>G625</f>
        <v>3697290.3550372827</v>
      </c>
      <c r="H716" s="180">
        <f>H628</f>
        <v>1217155.6314773445</v>
      </c>
      <c r="I716" s="180">
        <f>I629</f>
        <v>3391143.7082015816</v>
      </c>
      <c r="J716" s="180">
        <f>J630</f>
        <v>325721.76413899055</v>
      </c>
      <c r="K716" s="180">
        <f>K644</f>
        <v>16327143.797100816</v>
      </c>
      <c r="L716" s="180">
        <f>L647</f>
        <v>5171071.473001793</v>
      </c>
      <c r="M716" s="180">
        <f>C648</f>
        <v>76645520.290000021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201*2020*A</v>
      </c>
      <c r="B722" s="276">
        <f>ROUND(C165,0)</f>
        <v>7371020</v>
      </c>
      <c r="C722" s="276">
        <f>ROUND(C166,0)</f>
        <v>385514</v>
      </c>
      <c r="D722" s="276">
        <f>ROUND(C167,0)</f>
        <v>599228</v>
      </c>
      <c r="E722" s="276">
        <f>ROUND(C168,0)</f>
        <v>11936814</v>
      </c>
      <c r="F722" s="276">
        <f>ROUND(C169,0)</f>
        <v>238372</v>
      </c>
      <c r="G722" s="276">
        <f>ROUND(C170,0)</f>
        <v>5166319</v>
      </c>
      <c r="H722" s="276">
        <f>ROUND(C171+C172,0)</f>
        <v>1274936</v>
      </c>
      <c r="I722" s="276">
        <f>ROUND(C175,0)</f>
        <v>6187772</v>
      </c>
      <c r="J722" s="276">
        <f>ROUND(C176,0)</f>
        <v>1238566</v>
      </c>
      <c r="K722" s="276">
        <f>ROUND(C179,0)</f>
        <v>2713401</v>
      </c>
      <c r="L722" s="276">
        <f>ROUND(C180,0)</f>
        <v>82238</v>
      </c>
      <c r="M722" s="276">
        <f>ROUND(C183,0)</f>
        <v>134057</v>
      </c>
      <c r="N722" s="276">
        <f>ROUND(C184,0)</f>
        <v>8993681</v>
      </c>
      <c r="O722" s="276">
        <f>ROUND(C185,0)</f>
        <v>0</v>
      </c>
      <c r="P722" s="276">
        <f>ROUND(C188,0)</f>
        <v>68688</v>
      </c>
      <c r="Q722" s="276">
        <f>ROUND(C189,0)</f>
        <v>0</v>
      </c>
      <c r="R722" s="276">
        <f>ROUND(B195,0)</f>
        <v>7206097</v>
      </c>
      <c r="S722" s="276">
        <f>ROUND(C195,0)</f>
        <v>0</v>
      </c>
      <c r="T722" s="276">
        <f>ROUND(D195,0)</f>
        <v>0</v>
      </c>
      <c r="U722" s="276">
        <f>ROUND(B196,0)</f>
        <v>2932921</v>
      </c>
      <c r="V722" s="276">
        <f>ROUND(C196,0)</f>
        <v>0</v>
      </c>
      <c r="W722" s="276">
        <f>ROUND(D196,0)</f>
        <v>0</v>
      </c>
      <c r="X722" s="276">
        <f>ROUND(B197,0)</f>
        <v>62428182</v>
      </c>
      <c r="Y722" s="276">
        <f>ROUND(C197,0)</f>
        <v>2054255</v>
      </c>
      <c r="Z722" s="276">
        <f>ROUND(D197,0)</f>
        <v>0</v>
      </c>
      <c r="AA722" s="276">
        <f>ROUND(B198,0)</f>
        <v>21682302</v>
      </c>
      <c r="AB722" s="276">
        <f>ROUND(C198,0)</f>
        <v>968361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114086139</v>
      </c>
      <c r="AH722" s="276">
        <f>ROUND(C200,0)</f>
        <v>5391859</v>
      </c>
      <c r="AI722" s="276">
        <f>ROUND(D200,0)</f>
        <v>2686893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14806020</v>
      </c>
      <c r="AN722" s="276">
        <f>ROUND(C202,0)</f>
        <v>1746883</v>
      </c>
      <c r="AO722" s="276">
        <f>ROUND(D202,0)</f>
        <v>358140</v>
      </c>
      <c r="AP722" s="276">
        <f>ROUND(B203,0)</f>
        <v>2231661</v>
      </c>
      <c r="AQ722" s="276">
        <f>ROUND(C203,0)</f>
        <v>3731645</v>
      </c>
      <c r="AR722" s="276">
        <f>ROUND(D203,0)</f>
        <v>4797552</v>
      </c>
      <c r="AS722" s="276"/>
      <c r="AT722" s="276"/>
      <c r="AU722" s="276"/>
      <c r="AV722" s="276">
        <f>ROUND(B209,0)</f>
        <v>2153906</v>
      </c>
      <c r="AW722" s="276">
        <f>ROUND(C209,0)</f>
        <v>110493</v>
      </c>
      <c r="AX722" s="276">
        <f>ROUND(D209,0)</f>
        <v>0</v>
      </c>
      <c r="AY722" s="276">
        <f>ROUND(B210,0)</f>
        <v>21509537</v>
      </c>
      <c r="AZ722" s="276">
        <f>ROUND(C210,0)</f>
        <v>2452978</v>
      </c>
      <c r="BA722" s="276">
        <f>ROUND(D210,0)</f>
        <v>-10184</v>
      </c>
      <c r="BB722" s="276">
        <f>ROUND(B211,0)</f>
        <v>16378578</v>
      </c>
      <c r="BC722" s="276">
        <f>ROUND(C211,0)</f>
        <v>606178</v>
      </c>
      <c r="BD722" s="276">
        <f>ROUND(D211,0)</f>
        <v>-17578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83915027</v>
      </c>
      <c r="BI722" s="276">
        <f>ROUND(C213,0)</f>
        <v>8966499</v>
      </c>
      <c r="BJ722" s="276">
        <f>ROUND(D213,0)</f>
        <v>492960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8738674</v>
      </c>
      <c r="BO722" s="276">
        <f>ROUND(C215,0)</f>
        <v>1469442</v>
      </c>
      <c r="BP722" s="276">
        <f>ROUND(D215,0)</f>
        <v>-274310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473369966</v>
      </c>
      <c r="BU722" s="276">
        <f>ROUND(C224,0)</f>
        <v>286647699</v>
      </c>
      <c r="BV722" s="276">
        <f>ROUND(C225,0)</f>
        <v>0</v>
      </c>
      <c r="BW722" s="276">
        <f>ROUND(C226,0)</f>
        <v>35235590</v>
      </c>
      <c r="BX722" s="276">
        <f>ROUND(C227,0)</f>
        <v>270901965</v>
      </c>
      <c r="BY722" s="276">
        <f>ROUND(C228,0)</f>
        <v>19983055</v>
      </c>
      <c r="BZ722" s="276">
        <f>ROUND(C231,0)</f>
        <v>13214</v>
      </c>
      <c r="CA722" s="276">
        <f>ROUND(C233,0)</f>
        <v>13168972</v>
      </c>
      <c r="CB722" s="276">
        <f>ROUND(C234,0)</f>
        <v>30905344</v>
      </c>
      <c r="CC722" s="276">
        <f>ROUND(C238+C239,0)</f>
        <v>0</v>
      </c>
      <c r="CD722" s="276">
        <f>D221</f>
        <v>-5866430.8600000003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201*2020*A</v>
      </c>
      <c r="B726" s="276">
        <f>ROUND(C111,0)</f>
        <v>7150</v>
      </c>
      <c r="C726" s="276">
        <f>ROUND(C112,0)</f>
        <v>0</v>
      </c>
      <c r="D726" s="276">
        <f>ROUND(C113,0)</f>
        <v>0</v>
      </c>
      <c r="E726" s="276">
        <f>ROUND(C114,0)</f>
        <v>1178</v>
      </c>
      <c r="F726" s="276">
        <f>ROUND(D111,0)</f>
        <v>29920</v>
      </c>
      <c r="G726" s="276">
        <f>ROUND(D112,0)</f>
        <v>0</v>
      </c>
      <c r="H726" s="276">
        <f>ROUND(D113,0)</f>
        <v>0</v>
      </c>
      <c r="I726" s="276">
        <f>ROUND(D114,0)</f>
        <v>1715</v>
      </c>
      <c r="J726" s="276">
        <f>ROUND(C116,0)</f>
        <v>14</v>
      </c>
      <c r="K726" s="276">
        <f>ROUND(C117,0)</f>
        <v>16</v>
      </c>
      <c r="L726" s="276">
        <f>ROUND(C118,0)</f>
        <v>72</v>
      </c>
      <c r="M726" s="276">
        <f>ROUND(C119,0)</f>
        <v>0</v>
      </c>
      <c r="N726" s="276">
        <f>ROUND(C120,0)</f>
        <v>16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6</v>
      </c>
      <c r="V726" s="276">
        <f>ROUND(C128,0)</f>
        <v>124</v>
      </c>
      <c r="W726" s="276">
        <f>ROUND(C129,0)</f>
        <v>18</v>
      </c>
      <c r="X726" s="276">
        <f>ROUND(B138,0)</f>
        <v>2969</v>
      </c>
      <c r="Y726" s="276">
        <f>ROUND(B139,0)</f>
        <v>16326</v>
      </c>
      <c r="Z726" s="276">
        <f>ROUND(B140,0)</f>
        <v>0</v>
      </c>
      <c r="AA726" s="276">
        <f>ROUND(B141,0)</f>
        <v>251500407</v>
      </c>
      <c r="AB726" s="276">
        <f>ROUND(B142,0)</f>
        <v>306352910</v>
      </c>
      <c r="AC726" s="276">
        <f>ROUND(C138,0)</f>
        <v>2114</v>
      </c>
      <c r="AD726" s="276">
        <f>ROUND(C139,0)</f>
        <v>7424</v>
      </c>
      <c r="AE726" s="276">
        <f>ROUND(C140,0)</f>
        <v>0</v>
      </c>
      <c r="AF726" s="276">
        <f>ROUND(C141,0)</f>
        <v>129616016</v>
      </c>
      <c r="AG726" s="276">
        <f>ROUND(C142,0)</f>
        <v>200129435</v>
      </c>
      <c r="AH726" s="276">
        <f>ROUND(D138,0)</f>
        <v>2067</v>
      </c>
      <c r="AI726" s="276">
        <f>ROUND(D139,0)</f>
        <v>6170</v>
      </c>
      <c r="AJ726" s="276">
        <f>ROUND(D140,0)</f>
        <v>0</v>
      </c>
      <c r="AK726" s="276">
        <f>ROUND(D141,0)</f>
        <v>169888457</v>
      </c>
      <c r="AL726" s="276">
        <f>ROUND(D142,0)</f>
        <v>354206825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201*2020*A</v>
      </c>
      <c r="B730" s="276">
        <f>ROUND(C250,0)</f>
        <v>1240284</v>
      </c>
      <c r="C730" s="276">
        <f>ROUND(C251,0)</f>
        <v>0</v>
      </c>
      <c r="D730" s="276">
        <f>ROUND(C252,0)</f>
        <v>182065606</v>
      </c>
      <c r="E730" s="276">
        <f>ROUND(C253,0)</f>
        <v>144458663</v>
      </c>
      <c r="F730" s="276">
        <f>ROUND(C254,0)</f>
        <v>0</v>
      </c>
      <c r="G730" s="276">
        <f>ROUND(C255,0)</f>
        <v>2816374</v>
      </c>
      <c r="H730" s="276">
        <f>ROUND(C256,0)</f>
        <v>0</v>
      </c>
      <c r="I730" s="276">
        <f>ROUND(C257,0)</f>
        <v>6863493</v>
      </c>
      <c r="J730" s="276">
        <f>ROUND(C258,0)</f>
        <v>555203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7206097</v>
      </c>
      <c r="P730" s="276">
        <f>ROUND(C268,0)</f>
        <v>2932921</v>
      </c>
      <c r="Q730" s="276">
        <f>ROUND(C269,0)</f>
        <v>64482437</v>
      </c>
      <c r="R730" s="276">
        <f>ROUND(C270,0)</f>
        <v>22650662</v>
      </c>
      <c r="S730" s="276">
        <f>ROUND(C271,0)</f>
        <v>0</v>
      </c>
      <c r="T730" s="276">
        <f>ROUND(C272,0)</f>
        <v>116791106</v>
      </c>
      <c r="U730" s="276">
        <f>ROUND(C273,0)</f>
        <v>16194763</v>
      </c>
      <c r="V730" s="276">
        <f>ROUND(C274,0)</f>
        <v>1165754</v>
      </c>
      <c r="W730" s="276">
        <f>ROUND(C275,0)</f>
        <v>0</v>
      </c>
      <c r="X730" s="276">
        <f>ROUND(C276,0)</f>
        <v>146110424</v>
      </c>
      <c r="Y730" s="276">
        <f>ROUND(C279,0)</f>
        <v>0</v>
      </c>
      <c r="Z730" s="276">
        <f>ROUND(C280,0)</f>
        <v>0</v>
      </c>
      <c r="AA730" s="276">
        <f>ROUND(C281,0)</f>
        <v>33162578</v>
      </c>
      <c r="AB730" s="276">
        <f>ROUND(C282,0)</f>
        <v>24852130</v>
      </c>
      <c r="AC730" s="276">
        <f>ROUND(C286,0)</f>
        <v>10727067</v>
      </c>
      <c r="AD730" s="276">
        <f>ROUND(C287,0)</f>
        <v>0</v>
      </c>
      <c r="AE730" s="276">
        <f>ROUND(C288,0)</f>
        <v>0</v>
      </c>
      <c r="AF730" s="276">
        <f>ROUND(C289,0)</f>
        <v>4086299</v>
      </c>
      <c r="AG730" s="276">
        <f>ROUND(C304,0)</f>
        <v>0</v>
      </c>
      <c r="AH730" s="276">
        <f>ROUND(C305,0)</f>
        <v>2645441</v>
      </c>
      <c r="AI730" s="276">
        <f>ROUND(C306,0)</f>
        <v>12924174</v>
      </c>
      <c r="AJ730" s="276">
        <f>ROUND(C307,0)</f>
        <v>15365075</v>
      </c>
      <c r="AK730" s="276">
        <f>ROUND(C308,0)</f>
        <v>22202870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1382957</v>
      </c>
      <c r="AQ730" s="276">
        <f>ROUND(C316,0)</f>
        <v>0</v>
      </c>
      <c r="AR730" s="276">
        <f>ROUND(C317,0)</f>
        <v>0</v>
      </c>
      <c r="AS730" s="276">
        <f>ROUND(C318,0)</f>
        <v>25229307</v>
      </c>
      <c r="AT730" s="276">
        <f>ROUND(C321,0)</f>
        <v>0</v>
      </c>
      <c r="AU730" s="276">
        <f>ROUND(C322,0)</f>
        <v>0</v>
      </c>
      <c r="AV730" s="276">
        <f>ROUND(C323,0)</f>
        <v>423591</v>
      </c>
      <c r="AW730" s="276">
        <f>ROUND(C324,0)</f>
        <v>1171162</v>
      </c>
      <c r="AX730" s="276">
        <f>ROUND(C325,0)</f>
        <v>0</v>
      </c>
      <c r="AY730" s="276">
        <f>ROUND(C326,0)</f>
        <v>0</v>
      </c>
      <c r="AZ730" s="276">
        <f>ROUND(C327,0)</f>
        <v>1595555</v>
      </c>
      <c r="BA730" s="276">
        <f>ROUND(C328,0)</f>
        <v>0</v>
      </c>
      <c r="BB730" s="276">
        <f>ROUND(C332,0)</f>
        <v>125666513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1192.3699999999999</v>
      </c>
      <c r="BJ730" s="276">
        <f>ROUND(C359,0)</f>
        <v>551004880</v>
      </c>
      <c r="BK730" s="276">
        <f>ROUND(C360,0)</f>
        <v>860689171</v>
      </c>
      <c r="BL730" s="276">
        <f>ROUND(C364,0)</f>
        <v>1086138276</v>
      </c>
      <c r="BM730" s="276">
        <f>ROUND(C365,0)</f>
        <v>44074316</v>
      </c>
      <c r="BN730" s="276">
        <f>ROUND(C366,0)</f>
        <v>0</v>
      </c>
      <c r="BO730" s="276">
        <f>ROUND(C370,0)</f>
        <v>12107257</v>
      </c>
      <c r="BP730" s="276">
        <f>ROUND(C371,0)</f>
        <v>0</v>
      </c>
      <c r="BQ730" s="276">
        <f>ROUND(C378,0)</f>
        <v>118552060</v>
      </c>
      <c r="BR730" s="276">
        <f>ROUND(C379,0)</f>
        <v>26972204</v>
      </c>
      <c r="BS730" s="276">
        <f>ROUND(C380,0)</f>
        <v>13493248</v>
      </c>
      <c r="BT730" s="276">
        <f>ROUND(C381,0)</f>
        <v>34585887</v>
      </c>
      <c r="BU730" s="276">
        <f>ROUND(C382,0)</f>
        <v>1434237</v>
      </c>
      <c r="BV730" s="276">
        <f>ROUND(C383,0)</f>
        <v>65160329</v>
      </c>
      <c r="BW730" s="276">
        <f>ROUND(C384,0)</f>
        <v>13605590</v>
      </c>
      <c r="BX730" s="276">
        <f>ROUND(C385,0)</f>
        <v>7426338</v>
      </c>
      <c r="BY730" s="276">
        <f>ROUND(C386,0)</f>
        <v>2795639</v>
      </c>
      <c r="BZ730" s="276">
        <f>ROUND(C387,0)</f>
        <v>9127738</v>
      </c>
      <c r="CA730" s="276">
        <f>ROUND(C388,0)</f>
        <v>68688</v>
      </c>
      <c r="CB730" s="276">
        <f>C363</f>
        <v>-5866430.8600000003</v>
      </c>
      <c r="CC730" s="276">
        <f>ROUND(C389,0)</f>
        <v>3096108</v>
      </c>
      <c r="CD730" s="276">
        <f>ROUND(C392,0)</f>
        <v>930590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201*2020*6010*A</v>
      </c>
      <c r="B734" s="276">
        <f>ROUND(C59,0)</f>
        <v>4166</v>
      </c>
      <c r="C734" s="276">
        <f>ROUND(C60,2)</f>
        <v>42.51</v>
      </c>
      <c r="D734" s="276">
        <f>ROUND(C61,0)</f>
        <v>4693453</v>
      </c>
      <c r="E734" s="276">
        <f>ROUND(C62,0)</f>
        <v>1073457</v>
      </c>
      <c r="F734" s="276">
        <f>ROUND(C63,0)</f>
        <v>1731668</v>
      </c>
      <c r="G734" s="276">
        <f>ROUND(C64,0)</f>
        <v>586258</v>
      </c>
      <c r="H734" s="276">
        <f>ROUND(C65,0)</f>
        <v>438</v>
      </c>
      <c r="I734" s="276">
        <f>ROUND(C66,0)</f>
        <v>34329</v>
      </c>
      <c r="J734" s="276">
        <f>ROUND(C67,0)</f>
        <v>355487</v>
      </c>
      <c r="K734" s="276">
        <f>ROUND(C68,0)</f>
        <v>4554</v>
      </c>
      <c r="L734" s="276">
        <f>ROUND(C69,0)</f>
        <v>15029</v>
      </c>
      <c r="M734" s="276">
        <f>ROUND(C70,0)</f>
        <v>0</v>
      </c>
      <c r="N734" s="276">
        <f>ROUND(C75,0)</f>
        <v>28521389</v>
      </c>
      <c r="O734" s="276">
        <f>ROUND(C73,0)</f>
        <v>28333612</v>
      </c>
      <c r="P734" s="276">
        <f>IF(C76&gt;0,ROUND(C76,0),0)</f>
        <v>11112</v>
      </c>
      <c r="Q734" s="276">
        <f>IF(C77&gt;0,ROUND(C77,0),0)</f>
        <v>6365</v>
      </c>
      <c r="R734" s="276">
        <f>IF(C78&gt;0,ROUND(C78,0),0)</f>
        <v>4784</v>
      </c>
      <c r="S734" s="276">
        <f>IF(C79&gt;0,ROUND(C79,0),0)</f>
        <v>0</v>
      </c>
      <c r="T734" s="276">
        <f>IF(C80&gt;0,ROUND(C80,2),0)</f>
        <v>31.44</v>
      </c>
      <c r="U734" s="276"/>
      <c r="V734" s="276"/>
      <c r="W734" s="276"/>
      <c r="X734" s="276"/>
      <c r="Y734" s="276">
        <f>IF(M668&lt;&gt;0,ROUND(M668,0),0)</f>
        <v>3544427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201*2020*6030*A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201*2020*6070*A</v>
      </c>
      <c r="B736" s="276">
        <f>ROUND(E59,0)</f>
        <v>25754</v>
      </c>
      <c r="C736" s="278">
        <f>ROUND(E60,2)</f>
        <v>211.25</v>
      </c>
      <c r="D736" s="276">
        <f>ROUND(E61,0)</f>
        <v>18500483</v>
      </c>
      <c r="E736" s="276">
        <f>ROUND(E62,0)</f>
        <v>4902208</v>
      </c>
      <c r="F736" s="276">
        <f>ROUND(E63,0)</f>
        <v>38750</v>
      </c>
      <c r="G736" s="276">
        <f>ROUND(E64,0)</f>
        <v>1195206</v>
      </c>
      <c r="H736" s="276">
        <f>ROUND(E65,0)</f>
        <v>4736</v>
      </c>
      <c r="I736" s="276">
        <f>ROUND(E66,0)</f>
        <v>311096</v>
      </c>
      <c r="J736" s="276">
        <f>ROUND(E67,0)</f>
        <v>862440</v>
      </c>
      <c r="K736" s="276">
        <f>ROUND(E68,0)</f>
        <v>25386</v>
      </c>
      <c r="L736" s="276">
        <f>ROUND(E69,0)</f>
        <v>52689</v>
      </c>
      <c r="M736" s="276">
        <f>ROUND(E70,0)</f>
        <v>4000</v>
      </c>
      <c r="N736" s="276">
        <f>ROUND(E75,0)</f>
        <v>126032142</v>
      </c>
      <c r="O736" s="276">
        <f>ROUND(E73,0)</f>
        <v>97400852</v>
      </c>
      <c r="P736" s="276">
        <f>IF(E76&gt;0,ROUND(E76,0),0)</f>
        <v>48911</v>
      </c>
      <c r="Q736" s="276">
        <f>IF(E77&gt;0,ROUND(E77,0),0)</f>
        <v>50673</v>
      </c>
      <c r="R736" s="276">
        <f>IF(E78&gt;0,ROUND(E78,0),0)</f>
        <v>21056</v>
      </c>
      <c r="S736" s="276">
        <f>IF(E79&gt;0,ROUND(E79,0),0)</f>
        <v>293601</v>
      </c>
      <c r="T736" s="278">
        <f>IF(E80&gt;0,ROUND(E80,2),0)</f>
        <v>121.29</v>
      </c>
      <c r="U736" s="276"/>
      <c r="V736" s="277"/>
      <c r="W736" s="276"/>
      <c r="X736" s="276"/>
      <c r="Y736" s="276">
        <f t="shared" si="21"/>
        <v>14324301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201*2020*6100*A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201*2020*6120*A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201*2020*6140*A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201*2020*6150*A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201*2020*6170*A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201*2020*6200*A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201*2020*6210*A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201*2020*6330*A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201*2020*6400*A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201*2020*7010*A</v>
      </c>
      <c r="B746" s="276">
        <f>ROUND(O59,0)</f>
        <v>5191</v>
      </c>
      <c r="C746" s="278">
        <f>ROUND(O60,2)</f>
        <v>53.18</v>
      </c>
      <c r="D746" s="276">
        <f>ROUND(O61,0)</f>
        <v>5716005</v>
      </c>
      <c r="E746" s="276">
        <f>ROUND(O62,0)</f>
        <v>1370100</v>
      </c>
      <c r="F746" s="276">
        <f>ROUND(O63,0)</f>
        <v>723123</v>
      </c>
      <c r="G746" s="276">
        <f>ROUND(O64,0)</f>
        <v>500425</v>
      </c>
      <c r="H746" s="276">
        <f>ROUND(O65,0)</f>
        <v>1715</v>
      </c>
      <c r="I746" s="276">
        <f>ROUND(O66,0)</f>
        <v>318246</v>
      </c>
      <c r="J746" s="276">
        <f>ROUND(O67,0)</f>
        <v>224020</v>
      </c>
      <c r="K746" s="276">
        <f>ROUND(O68,0)</f>
        <v>5578</v>
      </c>
      <c r="L746" s="276">
        <f>ROUND(O69,0)</f>
        <v>46310</v>
      </c>
      <c r="M746" s="276">
        <f>ROUND(O70,0)</f>
        <v>4400</v>
      </c>
      <c r="N746" s="276">
        <f>ROUND(O75,0)</f>
        <v>46082994</v>
      </c>
      <c r="O746" s="276">
        <f>ROUND(O73,0)</f>
        <v>43422573</v>
      </c>
      <c r="P746" s="276">
        <f>IF(O76&gt;0,ROUND(O76,0),0)</f>
        <v>4254</v>
      </c>
      <c r="Q746" s="276">
        <f>IF(O77&gt;0,ROUND(O77,0),0)</f>
        <v>6941</v>
      </c>
      <c r="R746" s="276">
        <f>IF(O78&gt;0,ROUND(O78,0),0)</f>
        <v>1304</v>
      </c>
      <c r="S746" s="276">
        <f>IF(O79&gt;0,ROUND(O79,0),0)</f>
        <v>112328</v>
      </c>
      <c r="T746" s="278">
        <f>IF(O80&gt;0,ROUND(O80,2),0)</f>
        <v>35.380000000000003</v>
      </c>
      <c r="U746" s="276"/>
      <c r="V746" s="277"/>
      <c r="W746" s="276"/>
      <c r="X746" s="276"/>
      <c r="Y746" s="276">
        <f t="shared" si="21"/>
        <v>3238371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201*2020*7020*A</v>
      </c>
      <c r="B747" s="276">
        <f>ROUND(P59,0)</f>
        <v>595187</v>
      </c>
      <c r="C747" s="278">
        <f>ROUND(P60,2)</f>
        <v>95.64</v>
      </c>
      <c r="D747" s="276">
        <f>ROUND(P61,0)</f>
        <v>9081151</v>
      </c>
      <c r="E747" s="276">
        <f>ROUND(P62,0)</f>
        <v>2202173</v>
      </c>
      <c r="F747" s="276">
        <f>ROUND(P63,0)</f>
        <v>4385255</v>
      </c>
      <c r="G747" s="276">
        <f>ROUND(P64,0)</f>
        <v>16644039</v>
      </c>
      <c r="H747" s="276">
        <f>ROUND(P65,0)</f>
        <v>19311</v>
      </c>
      <c r="I747" s="276">
        <f>ROUND(P66,0)</f>
        <v>2373980</v>
      </c>
      <c r="J747" s="276">
        <f>ROUND(P67,0)</f>
        <v>4353927</v>
      </c>
      <c r="K747" s="276">
        <f>ROUND(P68,0)</f>
        <v>758747</v>
      </c>
      <c r="L747" s="276">
        <f>ROUND(P69,0)</f>
        <v>74249</v>
      </c>
      <c r="M747" s="276">
        <f>ROUND(P70,0)</f>
        <v>68621</v>
      </c>
      <c r="N747" s="276">
        <f>ROUND(P75,0)</f>
        <v>405491709</v>
      </c>
      <c r="O747" s="276">
        <f>ROUND(P73,0)</f>
        <v>141741412</v>
      </c>
      <c r="P747" s="276">
        <f>IF(P76&gt;0,ROUND(P76,0),0)</f>
        <v>23570</v>
      </c>
      <c r="Q747" s="276">
        <f>IF(P77&gt;0,ROUND(P77,0),0)</f>
        <v>24935</v>
      </c>
      <c r="R747" s="276">
        <f>IF(P78&gt;0,ROUND(P78,0),0)</f>
        <v>10147</v>
      </c>
      <c r="S747" s="276">
        <f>IF(P79&gt;0,ROUND(P79,0),0)</f>
        <v>270991</v>
      </c>
      <c r="T747" s="278">
        <f>IF(P80&gt;0,ROUND(P80,2),0)</f>
        <v>39.99</v>
      </c>
      <c r="U747" s="276"/>
      <c r="V747" s="277"/>
      <c r="W747" s="276"/>
      <c r="X747" s="276"/>
      <c r="Y747" s="276">
        <f t="shared" si="21"/>
        <v>15295618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201*2020*7030*A</v>
      </c>
      <c r="B748" s="276">
        <f>ROUND(Q59,0)</f>
        <v>17580</v>
      </c>
      <c r="C748" s="278">
        <f>ROUND(Q60,2)</f>
        <v>26.25</v>
      </c>
      <c r="D748" s="276">
        <f>ROUND(Q61,0)</f>
        <v>3206680</v>
      </c>
      <c r="E748" s="276">
        <f>ROUND(Q62,0)</f>
        <v>682056</v>
      </c>
      <c r="F748" s="276">
        <f>ROUND(Q63,0)</f>
        <v>0</v>
      </c>
      <c r="G748" s="276">
        <f>ROUND(Q64,0)</f>
        <v>236213</v>
      </c>
      <c r="H748" s="276">
        <f>ROUND(Q65,0)</f>
        <v>1018</v>
      </c>
      <c r="I748" s="276">
        <f>ROUND(Q66,0)</f>
        <v>41293</v>
      </c>
      <c r="J748" s="276">
        <f>ROUND(Q67,0)</f>
        <v>20046</v>
      </c>
      <c r="K748" s="276">
        <f>ROUND(Q68,0)</f>
        <v>1767</v>
      </c>
      <c r="L748" s="276">
        <f>ROUND(Q69,0)</f>
        <v>10184</v>
      </c>
      <c r="M748" s="276">
        <f>ROUND(Q70,0)</f>
        <v>0</v>
      </c>
      <c r="N748" s="276">
        <f>ROUND(Q75,0)</f>
        <v>24125583</v>
      </c>
      <c r="O748" s="276">
        <f>ROUND(Q73,0)</f>
        <v>7848712</v>
      </c>
      <c r="P748" s="276">
        <f>IF(Q76&gt;0,ROUND(Q76,0),0)</f>
        <v>1238</v>
      </c>
      <c r="Q748" s="276">
        <f>IF(Q77&gt;0,ROUND(Q77,0),0)</f>
        <v>0</v>
      </c>
      <c r="R748" s="276">
        <f>IF(Q78&gt;0,ROUND(Q78,0),0)</f>
        <v>533</v>
      </c>
      <c r="S748" s="276">
        <f>IF(Q79&gt;0,ROUND(Q79,0),0)</f>
        <v>6208</v>
      </c>
      <c r="T748" s="278">
        <f>IF(Q80&gt;0,ROUND(Q80,2),0)</f>
        <v>18.3</v>
      </c>
      <c r="U748" s="276"/>
      <c r="V748" s="277"/>
      <c r="W748" s="276"/>
      <c r="X748" s="276"/>
      <c r="Y748" s="276">
        <f t="shared" si="21"/>
        <v>1394930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201*2020*7040*A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201*2020*7050*A</v>
      </c>
      <c r="B750" s="276"/>
      <c r="C750" s="278">
        <f>ROUND(S60,2)</f>
        <v>15.61</v>
      </c>
      <c r="D750" s="276">
        <f>ROUND(S61,0)</f>
        <v>791585</v>
      </c>
      <c r="E750" s="276">
        <f>ROUND(S62,0)</f>
        <v>294985</v>
      </c>
      <c r="F750" s="276">
        <f>ROUND(S63,0)</f>
        <v>0</v>
      </c>
      <c r="G750" s="276">
        <f>ROUND(S64,0)</f>
        <v>-338617</v>
      </c>
      <c r="H750" s="276">
        <f>ROUND(S65,0)</f>
        <v>0</v>
      </c>
      <c r="I750" s="276">
        <f>ROUND(S66,0)</f>
        <v>60807</v>
      </c>
      <c r="J750" s="276">
        <f>ROUND(S67,0)</f>
        <v>87572</v>
      </c>
      <c r="K750" s="276">
        <f>ROUND(S68,0)</f>
        <v>50342</v>
      </c>
      <c r="L750" s="276">
        <f>ROUND(S69,0)</f>
        <v>11764</v>
      </c>
      <c r="M750" s="276">
        <f>ROUND(S70,0)</f>
        <v>1800</v>
      </c>
      <c r="N750" s="276">
        <f>ROUND(S75,0)</f>
        <v>0</v>
      </c>
      <c r="O750" s="276">
        <f>ROUND(S73,0)</f>
        <v>0</v>
      </c>
      <c r="P750" s="276">
        <f>IF(S76&gt;0,ROUND(S76,0),0)</f>
        <v>5572</v>
      </c>
      <c r="Q750" s="276">
        <f>IF(S77&gt;0,ROUND(S77,0),0)</f>
        <v>0</v>
      </c>
      <c r="R750" s="276">
        <f>IF(S78&gt;0,ROUND(S78,0),0)</f>
        <v>2399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716222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201*2020*7060*A</v>
      </c>
      <c r="B751" s="276"/>
      <c r="C751" s="278">
        <f>ROUND(T60,2)</f>
        <v>2.62</v>
      </c>
      <c r="D751" s="276">
        <f>ROUND(T61,0)</f>
        <v>314117</v>
      </c>
      <c r="E751" s="276">
        <f>ROUND(T62,0)</f>
        <v>71976</v>
      </c>
      <c r="F751" s="276">
        <f>ROUND(T63,0)</f>
        <v>0</v>
      </c>
      <c r="G751" s="276">
        <f>ROUND(T64,0)</f>
        <v>279867</v>
      </c>
      <c r="H751" s="276">
        <f>ROUND(T65,0)</f>
        <v>0</v>
      </c>
      <c r="I751" s="276">
        <f>ROUND(T66,0)</f>
        <v>0</v>
      </c>
      <c r="J751" s="276">
        <f>ROUND(T67,0)</f>
        <v>7650</v>
      </c>
      <c r="K751" s="276">
        <f>ROUND(T68,0)</f>
        <v>0</v>
      </c>
      <c r="L751" s="276">
        <f>ROUND(T69,0)</f>
        <v>385</v>
      </c>
      <c r="M751" s="276">
        <f>ROUND(T70,0)</f>
        <v>0</v>
      </c>
      <c r="N751" s="276">
        <f>ROUND(T75,0)</f>
        <v>4292732</v>
      </c>
      <c r="O751" s="276">
        <f>ROUND(T73,0)</f>
        <v>3989205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2.2599999999999998</v>
      </c>
      <c r="U751" s="276"/>
      <c r="V751" s="277"/>
      <c r="W751" s="276"/>
      <c r="X751" s="276"/>
      <c r="Y751" s="276">
        <f t="shared" si="21"/>
        <v>199805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201*2020*7070*A</v>
      </c>
      <c r="B752" s="276">
        <f>ROUND(U59,0)</f>
        <v>462930</v>
      </c>
      <c r="C752" s="278">
        <f>ROUND(U60,2)</f>
        <v>25.75</v>
      </c>
      <c r="D752" s="276">
        <f>ROUND(U61,0)</f>
        <v>1866471</v>
      </c>
      <c r="E752" s="276">
        <f>ROUND(U62,0)</f>
        <v>557127</v>
      </c>
      <c r="F752" s="276">
        <f>ROUND(U63,0)</f>
        <v>28427</v>
      </c>
      <c r="G752" s="276">
        <f>ROUND(U64,0)</f>
        <v>1576119</v>
      </c>
      <c r="H752" s="276">
        <f>ROUND(U65,0)</f>
        <v>298</v>
      </c>
      <c r="I752" s="276">
        <f>ROUND(U66,0)</f>
        <v>1717566</v>
      </c>
      <c r="J752" s="276">
        <f>ROUND(U67,0)</f>
        <v>165107</v>
      </c>
      <c r="K752" s="276">
        <f>ROUND(U68,0)</f>
        <v>101679</v>
      </c>
      <c r="L752" s="276">
        <f>ROUND(U69,0)</f>
        <v>49269</v>
      </c>
      <c r="M752" s="276">
        <f>ROUND(U70,0)</f>
        <v>123702</v>
      </c>
      <c r="N752" s="276">
        <f>ROUND(U75,0)</f>
        <v>69267778</v>
      </c>
      <c r="O752" s="276">
        <f>ROUND(U73,0)</f>
        <v>34766353</v>
      </c>
      <c r="P752" s="276">
        <f>IF(U76&gt;0,ROUND(U76,0),0)</f>
        <v>6711</v>
      </c>
      <c r="Q752" s="276">
        <f>IF(U77&gt;0,ROUND(U77,0),0)</f>
        <v>0</v>
      </c>
      <c r="R752" s="276">
        <f>IF(U78&gt;0,ROUND(U78,0),0)</f>
        <v>2889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2472389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201*2020*7110*A</v>
      </c>
      <c r="B753" s="276">
        <f>ROUND(V59,0)</f>
        <v>0</v>
      </c>
      <c r="C753" s="278">
        <f>ROUND(V60,2)</f>
        <v>5.0999999999999996</v>
      </c>
      <c r="D753" s="276">
        <f>ROUND(V61,0)</f>
        <v>540935</v>
      </c>
      <c r="E753" s="276">
        <f>ROUND(V62,0)</f>
        <v>131857</v>
      </c>
      <c r="F753" s="276">
        <f>ROUND(V63,0)</f>
        <v>0</v>
      </c>
      <c r="G753" s="276">
        <f>ROUND(V64,0)</f>
        <v>89907</v>
      </c>
      <c r="H753" s="276">
        <f>ROUND(V65,0)</f>
        <v>381</v>
      </c>
      <c r="I753" s="276">
        <f>ROUND(V66,0)</f>
        <v>64924</v>
      </c>
      <c r="J753" s="276">
        <f>ROUND(V67,0)</f>
        <v>79832</v>
      </c>
      <c r="K753" s="276">
        <f>ROUND(V68,0)</f>
        <v>57144</v>
      </c>
      <c r="L753" s="276">
        <f>ROUND(V69,0)</f>
        <v>699</v>
      </c>
      <c r="M753" s="276">
        <f>ROUND(V70,0)</f>
        <v>0</v>
      </c>
      <c r="N753" s="276">
        <f>ROUND(V75,0)</f>
        <v>15357023</v>
      </c>
      <c r="O753" s="276">
        <f>ROUND(V73,0)</f>
        <v>7740496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0.75</v>
      </c>
      <c r="U753" s="276"/>
      <c r="V753" s="277"/>
      <c r="W753" s="276"/>
      <c r="X753" s="276"/>
      <c r="Y753" s="276">
        <f t="shared" si="21"/>
        <v>352361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201*2020*7120*A</v>
      </c>
      <c r="B754" s="276">
        <f>ROUND(W59,0)</f>
        <v>0</v>
      </c>
      <c r="C754" s="278">
        <f>ROUND(W60,2)</f>
        <v>3.25</v>
      </c>
      <c r="D754" s="276">
        <f>ROUND(W61,0)</f>
        <v>524483</v>
      </c>
      <c r="E754" s="276">
        <f>ROUND(W62,0)</f>
        <v>100790</v>
      </c>
      <c r="F754" s="276">
        <f>ROUND(W63,0)</f>
        <v>0</v>
      </c>
      <c r="G754" s="276">
        <f>ROUND(W64,0)</f>
        <v>29054</v>
      </c>
      <c r="H754" s="276">
        <f>ROUND(W65,0)</f>
        <v>90</v>
      </c>
      <c r="I754" s="276">
        <f>ROUND(W66,0)</f>
        <v>110029</v>
      </c>
      <c r="J754" s="276">
        <f>ROUND(W67,0)</f>
        <v>0</v>
      </c>
      <c r="K754" s="276">
        <f>ROUND(W68,0)</f>
        <v>262</v>
      </c>
      <c r="L754" s="276">
        <f>ROUND(W69,0)</f>
        <v>160</v>
      </c>
      <c r="M754" s="276">
        <f>ROUND(W70,0)</f>
        <v>0</v>
      </c>
      <c r="N754" s="276">
        <f>ROUND(W75,0)</f>
        <v>20113069</v>
      </c>
      <c r="O754" s="276">
        <f>ROUND(W73,0)</f>
        <v>4669680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360596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201*2020*7130*A</v>
      </c>
      <c r="B755" s="276">
        <f>ROUND(X59,0)</f>
        <v>20862</v>
      </c>
      <c r="C755" s="278">
        <f>ROUND(X60,2)</f>
        <v>7.91</v>
      </c>
      <c r="D755" s="276">
        <f>ROUND(X61,0)</f>
        <v>840117</v>
      </c>
      <c r="E755" s="276">
        <f>ROUND(X62,0)</f>
        <v>204142</v>
      </c>
      <c r="F755" s="276">
        <f>ROUND(X63,0)</f>
        <v>0</v>
      </c>
      <c r="G755" s="276">
        <f>ROUND(X64,0)</f>
        <v>195711</v>
      </c>
      <c r="H755" s="276">
        <f>ROUND(X65,0)</f>
        <v>0</v>
      </c>
      <c r="I755" s="276">
        <f>ROUND(X66,0)</f>
        <v>64277</v>
      </c>
      <c r="J755" s="276">
        <f>ROUND(X67,0)</f>
        <v>159770</v>
      </c>
      <c r="K755" s="276">
        <f>ROUND(X68,0)</f>
        <v>249</v>
      </c>
      <c r="L755" s="276">
        <f>ROUND(X69,0)</f>
        <v>402</v>
      </c>
      <c r="M755" s="276">
        <f>ROUND(X70,0)</f>
        <v>0</v>
      </c>
      <c r="N755" s="276">
        <f>ROUND(X75,0)</f>
        <v>114805089</v>
      </c>
      <c r="O755" s="276">
        <f>ROUND(X73,0)</f>
        <v>28403680</v>
      </c>
      <c r="P755" s="276">
        <f>IF(X76&gt;0,ROUND(X76,0),0)</f>
        <v>787</v>
      </c>
      <c r="Q755" s="276">
        <f>IF(X77&gt;0,ROUND(X77,0),0)</f>
        <v>0</v>
      </c>
      <c r="R755" s="276">
        <f>IF(X78&gt;0,ROUND(X78,0),0)</f>
        <v>339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1653837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201*2020*7140*A</v>
      </c>
      <c r="B756" s="276">
        <f>ROUND(Y59,0)</f>
        <v>159643</v>
      </c>
      <c r="C756" s="278">
        <f>ROUND(Y60,2)</f>
        <v>32.6</v>
      </c>
      <c r="D756" s="276">
        <f>ROUND(Y61,0)</f>
        <v>2879981</v>
      </c>
      <c r="E756" s="276">
        <f>ROUND(Y62,0)</f>
        <v>767057</v>
      </c>
      <c r="F756" s="276">
        <f>ROUND(Y63,0)</f>
        <v>24216</v>
      </c>
      <c r="G756" s="276">
        <f>ROUND(Y64,0)</f>
        <v>129073</v>
      </c>
      <c r="H756" s="276">
        <f>ROUND(Y65,0)</f>
        <v>4917</v>
      </c>
      <c r="I756" s="276">
        <f>ROUND(Y66,0)</f>
        <v>1199915</v>
      </c>
      <c r="J756" s="276">
        <f>ROUND(Y67,0)</f>
        <v>804700</v>
      </c>
      <c r="K756" s="276">
        <f>ROUND(Y68,0)</f>
        <v>242195</v>
      </c>
      <c r="L756" s="276">
        <f>ROUND(Y69,0)</f>
        <v>7194</v>
      </c>
      <c r="M756" s="276">
        <f>ROUND(Y70,0)</f>
        <v>6133</v>
      </c>
      <c r="N756" s="276">
        <f>ROUND(Y75,0)</f>
        <v>44169044</v>
      </c>
      <c r="O756" s="276">
        <f>ROUND(Y73,0)</f>
        <v>9364916</v>
      </c>
      <c r="P756" s="276">
        <f>IF(Y76&gt;0,ROUND(Y76,0),0)</f>
        <v>24598</v>
      </c>
      <c r="Q756" s="276">
        <f>IF(Y77&gt;0,ROUND(Y77,0),0)</f>
        <v>0</v>
      </c>
      <c r="R756" s="276">
        <f>IF(Y78&gt;0,ROUND(Y78,0),0)</f>
        <v>10590</v>
      </c>
      <c r="S756" s="276">
        <f>IF(Y79&gt;0,ROUND(Y79,0),0)</f>
        <v>54473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3968065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201*2020*7150*A</v>
      </c>
      <c r="B757" s="276">
        <f>ROUND(Z59,0)</f>
        <v>0</v>
      </c>
      <c r="C757" s="278">
        <f>ROUND(Z60,2)</f>
        <v>5.24</v>
      </c>
      <c r="D757" s="276">
        <f>ROUND(Z61,0)</f>
        <v>624684</v>
      </c>
      <c r="E757" s="276">
        <f>ROUND(Z62,0)</f>
        <v>143109</v>
      </c>
      <c r="F757" s="276">
        <f>ROUND(Z63,0)</f>
        <v>10238</v>
      </c>
      <c r="G757" s="276">
        <f>ROUND(Z64,0)</f>
        <v>30202</v>
      </c>
      <c r="H757" s="276">
        <f>ROUND(Z65,0)</f>
        <v>762</v>
      </c>
      <c r="I757" s="276">
        <f>ROUND(Z66,0)</f>
        <v>2043666</v>
      </c>
      <c r="J757" s="276">
        <f>ROUND(Z67,0)</f>
        <v>657055</v>
      </c>
      <c r="K757" s="276">
        <f>ROUND(Z68,0)</f>
        <v>3114</v>
      </c>
      <c r="L757" s="276">
        <f>ROUND(Z69,0)</f>
        <v>1574</v>
      </c>
      <c r="M757" s="276">
        <f>ROUND(Z70,0)</f>
        <v>0</v>
      </c>
      <c r="N757" s="276">
        <f>ROUND(Z75,0)</f>
        <v>23742799</v>
      </c>
      <c r="O757" s="276">
        <f>ROUND(Z73,0)</f>
        <v>417008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1.1499999999999999</v>
      </c>
      <c r="U757" s="276"/>
      <c r="V757" s="277"/>
      <c r="W757" s="276"/>
      <c r="X757" s="276"/>
      <c r="Y757" s="276">
        <f t="shared" si="21"/>
        <v>868588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201*2020*7160*A</v>
      </c>
      <c r="B758" s="276">
        <f>ROUND(AA59,0)</f>
        <v>1610</v>
      </c>
      <c r="C758" s="278">
        <f>ROUND(AA60,2)</f>
        <v>3.06</v>
      </c>
      <c r="D758" s="276">
        <f>ROUND(AA61,0)</f>
        <v>331590</v>
      </c>
      <c r="E758" s="276">
        <f>ROUND(AA62,0)</f>
        <v>79952</v>
      </c>
      <c r="F758" s="276">
        <f>ROUND(AA63,0)</f>
        <v>0</v>
      </c>
      <c r="G758" s="276">
        <f>ROUND(AA64,0)</f>
        <v>248106</v>
      </c>
      <c r="H758" s="276">
        <f>ROUND(AA65,0)</f>
        <v>196</v>
      </c>
      <c r="I758" s="276">
        <f>ROUND(AA66,0)</f>
        <v>500947</v>
      </c>
      <c r="J758" s="276">
        <f>ROUND(AA67,0)</f>
        <v>15462</v>
      </c>
      <c r="K758" s="276">
        <f>ROUND(AA68,0)</f>
        <v>399</v>
      </c>
      <c r="L758" s="276">
        <f>ROUND(AA69,0)</f>
        <v>570</v>
      </c>
      <c r="M758" s="276">
        <f>ROUND(AA70,0)</f>
        <v>0</v>
      </c>
      <c r="N758" s="276">
        <f>ROUND(AA75,0)</f>
        <v>10204845</v>
      </c>
      <c r="O758" s="276">
        <f>ROUND(AA73,0)</f>
        <v>1053939</v>
      </c>
      <c r="P758" s="276">
        <f>IF(AA76&gt;0,ROUND(AA76,0),0)</f>
        <v>788</v>
      </c>
      <c r="Q758" s="276">
        <f>IF(AA77&gt;0,ROUND(AA77,0),0)</f>
        <v>0</v>
      </c>
      <c r="R758" s="276">
        <f>IF(AA78&gt;0,ROUND(AA78,0),0)</f>
        <v>339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392981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201*2020*7170*A</v>
      </c>
      <c r="B759" s="276"/>
      <c r="C759" s="278">
        <f>ROUND(AB60,2)</f>
        <v>23.73</v>
      </c>
      <c r="D759" s="276">
        <f>ROUND(AB61,0)</f>
        <v>2719609</v>
      </c>
      <c r="E759" s="276">
        <f>ROUND(AB62,0)</f>
        <v>627210</v>
      </c>
      <c r="F759" s="276">
        <f>ROUND(AB63,0)</f>
        <v>0</v>
      </c>
      <c r="G759" s="276">
        <f>ROUND(AB64,0)</f>
        <v>6868420</v>
      </c>
      <c r="H759" s="276">
        <f>ROUND(AB65,0)</f>
        <v>4845</v>
      </c>
      <c r="I759" s="276">
        <f>ROUND(AB66,0)</f>
        <v>419545</v>
      </c>
      <c r="J759" s="276">
        <f>ROUND(AB67,0)</f>
        <v>331311</v>
      </c>
      <c r="K759" s="276">
        <f>ROUND(AB68,0)</f>
        <v>70778</v>
      </c>
      <c r="L759" s="276">
        <f>ROUND(AB69,0)</f>
        <v>1176540</v>
      </c>
      <c r="M759" s="276">
        <f>ROUND(AB70,0)</f>
        <v>2172317</v>
      </c>
      <c r="N759" s="276">
        <f>ROUND(AB75,0)</f>
        <v>151382873</v>
      </c>
      <c r="O759" s="276">
        <f>ROUND(AB73,0)</f>
        <v>84910213</v>
      </c>
      <c r="P759" s="276">
        <f>IF(AB76&gt;0,ROUND(AB76,0),0)</f>
        <v>8305</v>
      </c>
      <c r="Q759" s="276">
        <f>IF(AB77&gt;0,ROUND(AB77,0),0)</f>
        <v>0</v>
      </c>
      <c r="R759" s="276">
        <f>IF(AB78&gt;0,ROUND(AB78,0),0)</f>
        <v>3576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4308506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201*2020*7180*A</v>
      </c>
      <c r="B760" s="276">
        <f>ROUND(AC59,0)</f>
        <v>38416</v>
      </c>
      <c r="C760" s="278">
        <f>ROUND(AC60,2)</f>
        <v>12.32</v>
      </c>
      <c r="D760" s="276">
        <f>ROUND(AC61,0)</f>
        <v>1196541</v>
      </c>
      <c r="E760" s="276">
        <f>ROUND(AC62,0)</f>
        <v>302962</v>
      </c>
      <c r="F760" s="276">
        <f>ROUND(AC63,0)</f>
        <v>1725</v>
      </c>
      <c r="G760" s="276">
        <f>ROUND(AC64,0)</f>
        <v>208594</v>
      </c>
      <c r="H760" s="276">
        <f>ROUND(AC65,0)</f>
        <v>483</v>
      </c>
      <c r="I760" s="276">
        <f>ROUND(AC66,0)</f>
        <v>10685</v>
      </c>
      <c r="J760" s="276">
        <f>ROUND(AC67,0)</f>
        <v>31157</v>
      </c>
      <c r="K760" s="276">
        <f>ROUND(AC68,0)</f>
        <v>3121</v>
      </c>
      <c r="L760" s="276">
        <f>ROUND(AC69,0)</f>
        <v>2853</v>
      </c>
      <c r="M760" s="276">
        <f>ROUND(AC70,0)</f>
        <v>0</v>
      </c>
      <c r="N760" s="276">
        <f>ROUND(AC75,0)</f>
        <v>27509400</v>
      </c>
      <c r="O760" s="276">
        <f>ROUND(AC73,0)</f>
        <v>20432332</v>
      </c>
      <c r="P760" s="276">
        <f>IF(AC76&gt;0,ROUND(AC76,0),0)</f>
        <v>1185</v>
      </c>
      <c r="Q760" s="276">
        <f>IF(AC77&gt;0,ROUND(AC77,0),0)</f>
        <v>0</v>
      </c>
      <c r="R760" s="276">
        <f>IF(AC78&gt;0,ROUND(AC78,0),0)</f>
        <v>510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735874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201*2020*7190*A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12481</v>
      </c>
      <c r="H761" s="276">
        <f>ROUND(AD65,0)</f>
        <v>0</v>
      </c>
      <c r="I761" s="276">
        <f>ROUND(AD66,0)</f>
        <v>693328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13463</v>
      </c>
      <c r="N761" s="276">
        <f>ROUND(AD75,0)</f>
        <v>2438483</v>
      </c>
      <c r="O761" s="276">
        <f>ROUND(AD73,0)</f>
        <v>2306949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140738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201*2020*7200*A</v>
      </c>
      <c r="B762" s="276">
        <f>ROUND(AE59,0)</f>
        <v>74518</v>
      </c>
      <c r="C762" s="278">
        <f>ROUND(AE60,2)</f>
        <v>19.05</v>
      </c>
      <c r="D762" s="276">
        <f>ROUND(AE61,0)</f>
        <v>1860778</v>
      </c>
      <c r="E762" s="276">
        <f>ROUND(AE62,0)</f>
        <v>469792</v>
      </c>
      <c r="F762" s="276">
        <f>ROUND(AE63,0)</f>
        <v>0</v>
      </c>
      <c r="G762" s="276">
        <f>ROUND(AE64,0)</f>
        <v>17290</v>
      </c>
      <c r="H762" s="276">
        <f>ROUND(AE65,0)</f>
        <v>4527</v>
      </c>
      <c r="I762" s="276">
        <f>ROUND(AE66,0)</f>
        <v>374922</v>
      </c>
      <c r="J762" s="276">
        <f>ROUND(AE67,0)</f>
        <v>215897</v>
      </c>
      <c r="K762" s="276">
        <f>ROUND(AE68,0)</f>
        <v>150853</v>
      </c>
      <c r="L762" s="276">
        <f>ROUND(AE69,0)</f>
        <v>6160</v>
      </c>
      <c r="M762" s="276">
        <f>ROUND(AE70,0)</f>
        <v>1360</v>
      </c>
      <c r="N762" s="276">
        <f>ROUND(AE75,0)</f>
        <v>13491715</v>
      </c>
      <c r="O762" s="276">
        <f>ROUND(AE73,0)</f>
        <v>2595175</v>
      </c>
      <c r="P762" s="276">
        <f>IF(AE76&gt;0,ROUND(AE76,0),0)</f>
        <v>9857</v>
      </c>
      <c r="Q762" s="276">
        <f>IF(AE77&gt;0,ROUND(AE77,0),0)</f>
        <v>0</v>
      </c>
      <c r="R762" s="276">
        <f>IF(AE78&gt;0,ROUND(AE78,0),0)</f>
        <v>4244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1649807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201*2020*7220*A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201*2020*7230*A</v>
      </c>
      <c r="B764" s="276">
        <f>ROUND(AG59,0)</f>
        <v>46516</v>
      </c>
      <c r="C764" s="278">
        <f>ROUND(AG60,2)</f>
        <v>64.88</v>
      </c>
      <c r="D764" s="276">
        <f>ROUND(AG61,0)</f>
        <v>5973029</v>
      </c>
      <c r="E764" s="276">
        <f>ROUND(AG62,0)</f>
        <v>1470794</v>
      </c>
      <c r="F764" s="276">
        <f>ROUND(AG63,0)</f>
        <v>1601151</v>
      </c>
      <c r="G764" s="276">
        <f>ROUND(AG64,0)</f>
        <v>1352715</v>
      </c>
      <c r="H764" s="276">
        <f>ROUND(AG65,0)</f>
        <v>846</v>
      </c>
      <c r="I764" s="276">
        <f>ROUND(AG66,0)</f>
        <v>1690266</v>
      </c>
      <c r="J764" s="276">
        <f>ROUND(AG67,0)</f>
        <v>224857</v>
      </c>
      <c r="K764" s="276">
        <f>ROUND(AG68,0)</f>
        <v>22214</v>
      </c>
      <c r="L764" s="276">
        <f>ROUND(AG69,0)</f>
        <v>100283</v>
      </c>
      <c r="M764" s="276">
        <f>ROUND(AG70,0)</f>
        <v>3000</v>
      </c>
      <c r="N764" s="276">
        <f>ROUND(AG75,0)</f>
        <v>165065259</v>
      </c>
      <c r="O764" s="276">
        <f>ROUND(AG73,0)</f>
        <v>29535364</v>
      </c>
      <c r="P764" s="276">
        <f>IF(AG76&gt;0,ROUND(AG76,0),0)</f>
        <v>10167</v>
      </c>
      <c r="Q764" s="276">
        <f>IF(AG77&gt;0,ROUND(AG77,0),0)</f>
        <v>6475</v>
      </c>
      <c r="R764" s="276">
        <f>IF(AG78&gt;0,ROUND(AG78,0),0)</f>
        <v>4377</v>
      </c>
      <c r="S764" s="276">
        <f>IF(AG79&gt;0,ROUND(AG79,0),0)</f>
        <v>277165</v>
      </c>
      <c r="T764" s="278">
        <f>IF(AG80&gt;0,ROUND(AG80,2),0)</f>
        <v>34.729999999999997</v>
      </c>
      <c r="U764" s="276"/>
      <c r="V764" s="277"/>
      <c r="W764" s="276"/>
      <c r="X764" s="276"/>
      <c r="Y764" s="276">
        <f t="shared" si="21"/>
        <v>5844344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201*2020*7240*A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201*2020*7250*A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201*2020*7260*A</v>
      </c>
      <c r="B767" s="276">
        <f>ROUND(AJ59,0)</f>
        <v>284075</v>
      </c>
      <c r="C767" s="278">
        <f>ROUND(AJ60,2)</f>
        <v>390.74</v>
      </c>
      <c r="D767" s="276">
        <f>ROUND(AJ61,0)</f>
        <v>45491015</v>
      </c>
      <c r="E767" s="276">
        <f>ROUND(AJ62,0)</f>
        <v>8349795</v>
      </c>
      <c r="F767" s="276">
        <f>ROUND(AJ63,0)</f>
        <v>782247</v>
      </c>
      <c r="G767" s="276">
        <f>ROUND(AJ64,0)</f>
        <v>3067269</v>
      </c>
      <c r="H767" s="276">
        <f>ROUND(AJ65,0)</f>
        <v>175011</v>
      </c>
      <c r="I767" s="276">
        <f>ROUND(AJ66,0)</f>
        <v>4999791</v>
      </c>
      <c r="J767" s="276">
        <f>ROUND(AJ67,0)</f>
        <v>2058736</v>
      </c>
      <c r="K767" s="276">
        <f>ROUND(AJ68,0)</f>
        <v>4788445</v>
      </c>
      <c r="L767" s="276">
        <f>ROUND(AJ69,0)</f>
        <v>2057395</v>
      </c>
      <c r="M767" s="276">
        <f>ROUND(AJ70,0)</f>
        <v>2660572</v>
      </c>
      <c r="N767" s="276">
        <f>ROUND(AJ75,0)</f>
        <v>115796059</v>
      </c>
      <c r="O767" s="276">
        <f>ROUND(AJ73,0)</f>
        <v>211585</v>
      </c>
      <c r="P767" s="276">
        <f>IF(AJ76&gt;0,ROUND(AJ76,0),0)</f>
        <v>0</v>
      </c>
      <c r="Q767" s="276">
        <f>IF(AJ77&gt;0,ROUND(AJ77,0),0)</f>
        <v>21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45.04</v>
      </c>
      <c r="U767" s="276"/>
      <c r="V767" s="277"/>
      <c r="W767" s="276"/>
      <c r="X767" s="276"/>
      <c r="Y767" s="276">
        <f t="shared" si="21"/>
        <v>13700066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201*2020*7310*A</v>
      </c>
      <c r="B768" s="276">
        <f>ROUND(AK59,0)</f>
        <v>11189</v>
      </c>
      <c r="C768" s="278">
        <f>ROUND(AK60,2)</f>
        <v>2.91</v>
      </c>
      <c r="D768" s="276">
        <f>ROUND(AK61,0)</f>
        <v>279159</v>
      </c>
      <c r="E768" s="276">
        <f>ROUND(AK62,0)</f>
        <v>73513</v>
      </c>
      <c r="F768" s="276">
        <f>ROUND(AK63,0)</f>
        <v>0</v>
      </c>
      <c r="G768" s="276">
        <f>ROUND(AK64,0)</f>
        <v>2039</v>
      </c>
      <c r="H768" s="276">
        <f>ROUND(AK65,0)</f>
        <v>293</v>
      </c>
      <c r="I768" s="276">
        <f>ROUND(AK66,0)</f>
        <v>2281</v>
      </c>
      <c r="J768" s="276">
        <f>ROUND(AK67,0)</f>
        <v>51833</v>
      </c>
      <c r="K768" s="276">
        <f>ROUND(AK68,0)</f>
        <v>0</v>
      </c>
      <c r="L768" s="276">
        <f>ROUND(AK69,0)</f>
        <v>175</v>
      </c>
      <c r="M768" s="276">
        <f>ROUND(AK70,0)</f>
        <v>0</v>
      </c>
      <c r="N768" s="276">
        <f>ROUND(AK75,0)</f>
        <v>2584924</v>
      </c>
      <c r="O768" s="276">
        <f>ROUND(AK73,0)</f>
        <v>1020153</v>
      </c>
      <c r="P768" s="276">
        <f>IF(AK76&gt;0,ROUND(AK76,0),0)</f>
        <v>3298</v>
      </c>
      <c r="Q768" s="276">
        <f>IF(AK77&gt;0,ROUND(AK77,0),0)</f>
        <v>0</v>
      </c>
      <c r="R768" s="276">
        <f>IF(AK78&gt;0,ROUND(AK78,0),0)</f>
        <v>1420</v>
      </c>
      <c r="S768" s="276">
        <f>IF(AK79&gt;0,ROUND(AK79,0),0)</f>
        <v>11876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427822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201*2020*7320*A</v>
      </c>
      <c r="B769" s="276">
        <f>ROUND(AL59,0)</f>
        <v>2188</v>
      </c>
      <c r="C769" s="278">
        <f>ROUND(AL60,2)</f>
        <v>1.22</v>
      </c>
      <c r="D769" s="276">
        <f>ROUND(AL61,0)</f>
        <v>111256</v>
      </c>
      <c r="E769" s="276">
        <f>ROUND(AL62,0)</f>
        <v>29538</v>
      </c>
      <c r="F769" s="276">
        <f>ROUND(AL63,0)</f>
        <v>0</v>
      </c>
      <c r="G769" s="276">
        <f>ROUND(AL64,0)</f>
        <v>41</v>
      </c>
      <c r="H769" s="276">
        <f>ROUND(AL65,0)</f>
        <v>82</v>
      </c>
      <c r="I769" s="276">
        <f>ROUND(AL66,0)</f>
        <v>944</v>
      </c>
      <c r="J769" s="276">
        <f>ROUND(AL67,0)</f>
        <v>10844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1046425</v>
      </c>
      <c r="O769" s="276">
        <f>ROUND(AL73,0)</f>
        <v>670974</v>
      </c>
      <c r="P769" s="276">
        <f>IF(AL76&gt;0,ROUND(AL76,0),0)</f>
        <v>690</v>
      </c>
      <c r="Q769" s="276">
        <f>IF(AL77&gt;0,ROUND(AL77,0),0)</f>
        <v>0</v>
      </c>
      <c r="R769" s="276">
        <f>IF(AL78&gt;0,ROUND(AL78,0),0)</f>
        <v>297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106107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201*2020*7330*A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201*2020*7340*A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201*2020*7350*A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201*2020*7380*A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201*2020*7390*A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201*2020*7400*A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60232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9777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201*2020*7410*A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201*2020*7420*A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201*2020*7430*A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201*2020*7490*A</v>
      </c>
      <c r="B779" s="276"/>
      <c r="C779" s="278">
        <f>ROUND(AV60,2)</f>
        <v>19.95</v>
      </c>
      <c r="D779" s="276">
        <f>ROUND(AV61,0)</f>
        <v>1642964</v>
      </c>
      <c r="E779" s="276">
        <f>ROUND(AV62,0)</f>
        <v>453637</v>
      </c>
      <c r="F779" s="276">
        <f>ROUND(AV63,0)</f>
        <v>42520</v>
      </c>
      <c r="G779" s="276">
        <f>ROUND(AV64,0)</f>
        <v>331586</v>
      </c>
      <c r="H779" s="276">
        <f>ROUND(AV65,0)</f>
        <v>1287</v>
      </c>
      <c r="I779" s="276">
        <f>ROUND(AV66,0)</f>
        <v>76039</v>
      </c>
      <c r="J779" s="276">
        <f>ROUND(AV67,0)</f>
        <v>12620</v>
      </c>
      <c r="K779" s="276">
        <f>ROUND(AV68,0)</f>
        <v>61552</v>
      </c>
      <c r="L779" s="276">
        <f>ROUND(AV69,0)</f>
        <v>-1631376</v>
      </c>
      <c r="M779" s="276">
        <f>ROUND(AV70,0)</f>
        <v>2975</v>
      </c>
      <c r="N779" s="276">
        <f>ROUND(AV75,0)</f>
        <v>172716</v>
      </c>
      <c r="O779" s="276">
        <f>ROUND(AV73,0)</f>
        <v>169699</v>
      </c>
      <c r="P779" s="276">
        <f>IF(AV76&gt;0,ROUND(AV76,0),0)</f>
        <v>803</v>
      </c>
      <c r="Q779" s="276">
        <f>IF(AV77&gt;0,ROUND(AV77,0),0)</f>
        <v>17134</v>
      </c>
      <c r="R779" s="276">
        <f>IF(AV78&gt;0,ROUND(AV78,0),0)</f>
        <v>0</v>
      </c>
      <c r="S779" s="276">
        <f>IF(AV79&gt;0,ROUND(AV79,0),0)</f>
        <v>7543</v>
      </c>
      <c r="T779" s="278">
        <f>IF(AV80&gt;0,ROUND(AV80,2),0)</f>
        <v>8.14</v>
      </c>
      <c r="U779" s="276"/>
      <c r="V779" s="277"/>
      <c r="W779" s="276"/>
      <c r="X779" s="276"/>
      <c r="Y779" s="276">
        <f t="shared" si="21"/>
        <v>939988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201*2020*8200*A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201*2020*8310*A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201*2020*8320*A</v>
      </c>
      <c r="B782" s="276">
        <f>ROUND(AY59,0)</f>
        <v>112544</v>
      </c>
      <c r="C782" s="278">
        <f>ROUND(AY60,2)</f>
        <v>38.340000000000003</v>
      </c>
      <c r="D782" s="276">
        <f>ROUND(AY61,0)</f>
        <v>1762923</v>
      </c>
      <c r="E782" s="276">
        <f>ROUND(AY62,0)</f>
        <v>703333</v>
      </c>
      <c r="F782" s="276">
        <f>ROUND(AY63,0)</f>
        <v>0</v>
      </c>
      <c r="G782" s="276">
        <f>ROUND(AY64,0)</f>
        <v>1051893</v>
      </c>
      <c r="H782" s="276">
        <f>ROUND(AY65,0)</f>
        <v>1640</v>
      </c>
      <c r="I782" s="276">
        <f>ROUND(AY66,0)</f>
        <v>671713</v>
      </c>
      <c r="J782" s="276">
        <f>ROUND(AY67,0)</f>
        <v>44012</v>
      </c>
      <c r="K782" s="276">
        <f>ROUND(AY68,0)</f>
        <v>31859</v>
      </c>
      <c r="L782" s="276">
        <f>ROUND(AY69,0)</f>
        <v>21052</v>
      </c>
      <c r="M782" s="276">
        <f>ROUND(AY70,0)</f>
        <v>1118571</v>
      </c>
      <c r="N782" s="276"/>
      <c r="O782" s="276"/>
      <c r="P782" s="276">
        <f>IF(AY76&gt;0,ROUND(AY76,0),0)</f>
        <v>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201*2020*8330*A</v>
      </c>
      <c r="B783" s="276">
        <f>ROUND(AZ59,0)</f>
        <v>175864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89710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5708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201*2020*8350*A</v>
      </c>
      <c r="B784" s="276">
        <f>ROUND(BA59,0)</f>
        <v>0</v>
      </c>
      <c r="C784" s="278">
        <f>ROUND(BA60,2)</f>
        <v>1.02</v>
      </c>
      <c r="D784" s="276">
        <f>ROUND(BA61,0)</f>
        <v>44809</v>
      </c>
      <c r="E784" s="276">
        <f>ROUND(BA62,0)</f>
        <v>18725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-1000</v>
      </c>
      <c r="J784" s="276">
        <f>ROUND(BA67,0)</f>
        <v>33932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2159</v>
      </c>
      <c r="Q784" s="276">
        <f>IF(BA77&gt;0,ROUND(BA77,0),0)</f>
        <v>0</v>
      </c>
      <c r="R784" s="276">
        <f>IF(BA78&gt;0,ROUND(BA78,0),0)</f>
        <v>929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201*2020*8360*A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201*2020*8370*A</v>
      </c>
      <c r="B786" s="276"/>
      <c r="C786" s="278">
        <f>ROUND(BC60,2)</f>
        <v>6.7</v>
      </c>
      <c r="D786" s="276">
        <f>ROUND(BC61,0)</f>
        <v>328064</v>
      </c>
      <c r="E786" s="276">
        <f>ROUND(BC62,0)</f>
        <v>125422</v>
      </c>
      <c r="F786" s="276">
        <f>ROUND(BC63,0)</f>
        <v>0</v>
      </c>
      <c r="G786" s="276">
        <f>ROUND(BC64,0)</f>
        <v>218</v>
      </c>
      <c r="H786" s="276">
        <f>ROUND(BC65,0)</f>
        <v>880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780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201*2020*8420*A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5706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359768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201*2020*8430*A</v>
      </c>
      <c r="B788" s="276">
        <f>ROUND(BE59,0)</f>
        <v>259285</v>
      </c>
      <c r="C788" s="278">
        <f>ROUND(BE60,2)</f>
        <v>6.71</v>
      </c>
      <c r="D788" s="276">
        <f>ROUND(BE61,0)</f>
        <v>442967</v>
      </c>
      <c r="E788" s="276">
        <f>ROUND(BE62,0)</f>
        <v>139567</v>
      </c>
      <c r="F788" s="276">
        <f>ROUND(BE63,0)</f>
        <v>0</v>
      </c>
      <c r="G788" s="276">
        <f>ROUND(BE64,0)</f>
        <v>51686</v>
      </c>
      <c r="H788" s="276">
        <f>ROUND(BE65,0)</f>
        <v>1205402</v>
      </c>
      <c r="I788" s="276">
        <f>ROUND(BE66,0)</f>
        <v>4181134</v>
      </c>
      <c r="J788" s="276">
        <f>ROUND(BE67,0)</f>
        <v>1167229</v>
      </c>
      <c r="K788" s="276">
        <f>ROUND(BE68,0)</f>
        <v>9962</v>
      </c>
      <c r="L788" s="276">
        <f>ROUND(BE69,0)</f>
        <v>20354</v>
      </c>
      <c r="M788" s="276">
        <f>ROUND(BE70,0)</f>
        <v>26023</v>
      </c>
      <c r="N788" s="276"/>
      <c r="O788" s="276"/>
      <c r="P788" s="276">
        <f>IF(BE76&gt;0,ROUND(BE76,0),0)</f>
        <v>60387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201*2020*8460*A</v>
      </c>
      <c r="B789" s="276"/>
      <c r="C789" s="278">
        <f>ROUND(BF60,2)</f>
        <v>34.33</v>
      </c>
      <c r="D789" s="276">
        <f>ROUND(BF61,0)</f>
        <v>1701738</v>
      </c>
      <c r="E789" s="276">
        <f>ROUND(BF62,0)</f>
        <v>626151</v>
      </c>
      <c r="F789" s="276">
        <f>ROUND(BF63,0)</f>
        <v>0</v>
      </c>
      <c r="G789" s="276">
        <f>ROUND(BF64,0)</f>
        <v>224757</v>
      </c>
      <c r="H789" s="276">
        <f>ROUND(BF65,0)</f>
        <v>384</v>
      </c>
      <c r="I789" s="276">
        <f>ROUND(BF66,0)</f>
        <v>275774</v>
      </c>
      <c r="J789" s="276">
        <f>ROUND(BF67,0)</f>
        <v>10316</v>
      </c>
      <c r="K789" s="276">
        <f>ROUND(BF68,0)</f>
        <v>1027</v>
      </c>
      <c r="L789" s="276">
        <f>ROUND(BF69,0)</f>
        <v>1583</v>
      </c>
      <c r="M789" s="276">
        <f>ROUND(BF70,0)</f>
        <v>0</v>
      </c>
      <c r="N789" s="276"/>
      <c r="O789" s="276"/>
      <c r="P789" s="276">
        <f>IF(BF76&gt;0,ROUND(BF76,0),0)</f>
        <v>625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201*2020*8470*A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201*2020*8480*A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201*2020*8490*A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49785</v>
      </c>
      <c r="H792" s="276">
        <f>ROUND(BI65,0)</f>
        <v>0</v>
      </c>
      <c r="I792" s="276">
        <f>ROUND(BI66,0)</f>
        <v>656</v>
      </c>
      <c r="J792" s="276">
        <f>ROUND(BI67,0)</f>
        <v>7607</v>
      </c>
      <c r="K792" s="276">
        <f>ROUND(BI68,0)</f>
        <v>0</v>
      </c>
      <c r="L792" s="276">
        <f>ROUND(BI69,0)</f>
        <v>762</v>
      </c>
      <c r="M792" s="276">
        <f>ROUND(BI70,0)</f>
        <v>71325</v>
      </c>
      <c r="N792" s="276"/>
      <c r="O792" s="276"/>
      <c r="P792" s="276">
        <f>IF(BI76&gt;0,ROUND(BI76,0),0)</f>
        <v>484</v>
      </c>
      <c r="Q792" s="276">
        <f>IF(BI77&gt;0,ROUND(BI77,0),0)</f>
        <v>0</v>
      </c>
      <c r="R792" s="276">
        <f>IF(BI78&gt;0,ROUND(BI78,0),0)</f>
        <v>208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201*2020*8510*A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201*2020*8530*A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15045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201*2020*8560*A</v>
      </c>
      <c r="B795" s="276"/>
      <c r="C795" s="278">
        <f>ROUND(BL60,2)</f>
        <v>1.84</v>
      </c>
      <c r="D795" s="276">
        <f>ROUND(BL61,0)</f>
        <v>78912</v>
      </c>
      <c r="E795" s="276">
        <f>ROUND(BL62,0)</f>
        <v>27183</v>
      </c>
      <c r="F795" s="276">
        <f>ROUND(BL63,0)</f>
        <v>0</v>
      </c>
      <c r="G795" s="276">
        <f>ROUND(BL64,0)</f>
        <v>33533</v>
      </c>
      <c r="H795" s="276">
        <f>ROUND(BL65,0)</f>
        <v>293</v>
      </c>
      <c r="I795" s="276">
        <f>ROUND(BL66,0)</f>
        <v>8746620</v>
      </c>
      <c r="J795" s="276">
        <f>ROUND(BL67,0)</f>
        <v>983</v>
      </c>
      <c r="K795" s="276">
        <f>ROUND(BL68,0)</f>
        <v>7505</v>
      </c>
      <c r="L795" s="276">
        <f>ROUND(BL69,0)</f>
        <v>945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201*2020*8590*A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201*2020*8610*A</v>
      </c>
      <c r="B797" s="276"/>
      <c r="C797" s="278">
        <f>ROUND(BN60,2)</f>
        <v>5.43</v>
      </c>
      <c r="D797" s="276">
        <f>ROUND(BN61,0)</f>
        <v>787030</v>
      </c>
      <c r="E797" s="276">
        <f>ROUND(BN62,0)</f>
        <v>155571</v>
      </c>
      <c r="F797" s="276">
        <f>ROUND(BN63,0)</f>
        <v>0</v>
      </c>
      <c r="G797" s="276">
        <f>ROUND(BN64,0)</f>
        <v>119385</v>
      </c>
      <c r="H797" s="276">
        <f>ROUND(BN65,0)</f>
        <v>2460</v>
      </c>
      <c r="I797" s="276">
        <f>ROUND(BN66,0)</f>
        <v>283394</v>
      </c>
      <c r="J797" s="276">
        <f>ROUND(BN67,0)</f>
        <v>377723</v>
      </c>
      <c r="K797" s="276">
        <f>ROUND(BN68,0)</f>
        <v>219524</v>
      </c>
      <c r="L797" s="276">
        <f>ROUND(BN69,0)</f>
        <v>341398</v>
      </c>
      <c r="M797" s="276">
        <f>ROUND(BN70,0)</f>
        <v>0</v>
      </c>
      <c r="N797" s="276"/>
      <c r="O797" s="276"/>
      <c r="P797" s="276">
        <f>IF(BN76&gt;0,ROUND(BN76,0),0)</f>
        <v>24024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201*2020*8620*A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201*2020*8630*A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201*2020*8640*A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201*2020*8650*A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480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573623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201*2020*8660*A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201*2020*8670*A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201*2020*8680*A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201*2020*8690*A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1093039</v>
      </c>
      <c r="J805" s="276">
        <f>ROUND(BV67,0)</f>
        <v>40391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2570</v>
      </c>
      <c r="Q805" s="276">
        <f>IF(BV77&gt;0,ROUND(BV77,0),0)</f>
        <v>0</v>
      </c>
      <c r="R805" s="276">
        <f>IF(BV78&gt;0,ROUND(BV78,0),0)</f>
        <v>1106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201*2020*8700*A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112579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201*2020*8710*A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3179802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201*2020*8720*A</v>
      </c>
      <c r="B808" s="276"/>
      <c r="C808" s="278">
        <f>ROUND(BY60,2)</f>
        <v>25.78</v>
      </c>
      <c r="D808" s="276">
        <f>ROUND(BY61,0)</f>
        <v>2364622</v>
      </c>
      <c r="E808" s="276">
        <f>ROUND(BY62,0)</f>
        <v>627290</v>
      </c>
      <c r="F808" s="276">
        <f>ROUND(BY63,0)</f>
        <v>0</v>
      </c>
      <c r="G808" s="276">
        <f>ROUND(BY64,0)</f>
        <v>16076</v>
      </c>
      <c r="H808" s="276">
        <f>ROUND(BY65,0)</f>
        <v>1471</v>
      </c>
      <c r="I808" s="276">
        <f>ROUND(BY66,0)</f>
        <v>162727</v>
      </c>
      <c r="J808" s="276">
        <f>ROUND(BY67,0)</f>
        <v>56383</v>
      </c>
      <c r="K808" s="276">
        <f>ROUND(BY68,0)</f>
        <v>12522</v>
      </c>
      <c r="L808" s="276">
        <f>ROUND(BY69,0)</f>
        <v>102460</v>
      </c>
      <c r="M808" s="276">
        <f>ROUND(BY70,0)</f>
        <v>0</v>
      </c>
      <c r="N808" s="276"/>
      <c r="O808" s="276"/>
      <c r="P808" s="276">
        <f>IF(BY76&gt;0,ROUND(BY76,0),0)</f>
        <v>1482</v>
      </c>
      <c r="Q808" s="276">
        <f>IF(BY77&gt;0,ROUND(BY77,0),0)</f>
        <v>0</v>
      </c>
      <c r="R808" s="276">
        <f>IF(BY78&gt;0,ROUND(BY78,0),0)</f>
        <v>638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201*2020*8730*A</v>
      </c>
      <c r="B809" s="276"/>
      <c r="C809" s="278">
        <f>ROUND(BZ60,2)</f>
        <v>1.9</v>
      </c>
      <c r="D809" s="276">
        <f>ROUND(BZ61,0)</f>
        <v>102127</v>
      </c>
      <c r="E809" s="276">
        <f>ROUND(BZ62,0)</f>
        <v>36697</v>
      </c>
      <c r="F809" s="276">
        <f>ROUND(BZ63,0)</f>
        <v>0</v>
      </c>
      <c r="G809" s="276">
        <f>ROUND(BZ64,0)</f>
        <v>80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201*2020*8740*A</v>
      </c>
      <c r="B810" s="276"/>
      <c r="C810" s="278">
        <f>ROUND(CA60,2)</f>
        <v>5.46</v>
      </c>
      <c r="D810" s="276">
        <f>ROUND(CA61,0)</f>
        <v>658864</v>
      </c>
      <c r="E810" s="276">
        <f>ROUND(CA62,0)</f>
        <v>151273</v>
      </c>
      <c r="F810" s="276">
        <f>ROUND(CA63,0)</f>
        <v>0</v>
      </c>
      <c r="G810" s="276">
        <f>ROUND(CA64,0)</f>
        <v>0</v>
      </c>
      <c r="H810" s="276">
        <f>ROUND(CA65,0)</f>
        <v>31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229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201*2020*8770*A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201*2020*8790*A</v>
      </c>
      <c r="B812" s="276"/>
      <c r="C812" s="278">
        <f>ROUND(CC60,2)</f>
        <v>0.09</v>
      </c>
      <c r="D812" s="276">
        <f>ROUND(CC61,0)</f>
        <v>1093915</v>
      </c>
      <c r="E812" s="276">
        <f>ROUND(CC62,0)</f>
        <v>2283</v>
      </c>
      <c r="F812" s="276">
        <f>ROUND(CC63,0)</f>
        <v>4123928</v>
      </c>
      <c r="G812" s="276">
        <f>ROUND(CC64,0)</f>
        <v>-229230</v>
      </c>
      <c r="H812" s="276">
        <f>ROUND(CC65,0)</f>
        <v>0</v>
      </c>
      <c r="I812" s="276">
        <f>ROUND(CC66,0)</f>
        <v>29269739</v>
      </c>
      <c r="J812" s="276">
        <f>ROUND(CC67,0)</f>
        <v>1046974</v>
      </c>
      <c r="K812" s="276">
        <f>ROUND(CC68,0)</f>
        <v>435794</v>
      </c>
      <c r="L812" s="276">
        <f>ROUND(CC69,0)</f>
        <v>50416</v>
      </c>
      <c r="M812" s="276">
        <f>ROUND(CC70,0)</f>
        <v>3131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201*2020*9000*A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11992065</v>
      </c>
      <c r="V813" s="277">
        <f>ROUND(CD70,0)</f>
        <v>5825865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1192.3700000000001</v>
      </c>
      <c r="D815" s="277">
        <f t="shared" si="22"/>
        <v>118552057</v>
      </c>
      <c r="E815" s="277">
        <f t="shared" si="22"/>
        <v>26972205</v>
      </c>
      <c r="F815" s="277">
        <f t="shared" si="22"/>
        <v>13493248</v>
      </c>
      <c r="G815" s="277">
        <f t="shared" si="22"/>
        <v>34585887</v>
      </c>
      <c r="H815" s="277">
        <f t="shared" si="22"/>
        <v>1433797</v>
      </c>
      <c r="I815" s="277">
        <f t="shared" si="22"/>
        <v>65160330</v>
      </c>
      <c r="J815" s="277">
        <f t="shared" si="22"/>
        <v>13605583</v>
      </c>
      <c r="K815" s="277">
        <f t="shared" si="22"/>
        <v>7426340</v>
      </c>
      <c r="L815" s="277">
        <f>SUM(L734:L813)+SUM(U734:U813)</f>
        <v>15088175</v>
      </c>
      <c r="M815" s="277">
        <f>SUM(M734:M813)+SUM(V734:V813)</f>
        <v>12107258</v>
      </c>
      <c r="N815" s="277">
        <f t="shared" ref="N815:Y815" si="23">SUM(N734:N813)</f>
        <v>1411694050</v>
      </c>
      <c r="O815" s="277">
        <f t="shared" si="23"/>
        <v>551004882</v>
      </c>
      <c r="P815" s="277">
        <f t="shared" si="23"/>
        <v>259285</v>
      </c>
      <c r="Q815" s="277">
        <f t="shared" si="23"/>
        <v>112544</v>
      </c>
      <c r="R815" s="277">
        <f t="shared" si="23"/>
        <v>71685</v>
      </c>
      <c r="S815" s="277">
        <f t="shared" si="23"/>
        <v>1034185</v>
      </c>
      <c r="T815" s="281">
        <f t="shared" si="23"/>
        <v>338.47</v>
      </c>
      <c r="U815" s="277">
        <f t="shared" si="23"/>
        <v>11992065</v>
      </c>
      <c r="V815" s="277">
        <f t="shared" si="23"/>
        <v>5825865</v>
      </c>
      <c r="W815" s="277">
        <f t="shared" si="23"/>
        <v>0</v>
      </c>
      <c r="X815" s="277">
        <f t="shared" si="23"/>
        <v>0</v>
      </c>
      <c r="Y815" s="277">
        <f t="shared" si="23"/>
        <v>76645520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1192.3700000000001</v>
      </c>
      <c r="D816" s="277">
        <f>CE61</f>
        <v>118552060.45999998</v>
      </c>
      <c r="E816" s="277">
        <f>CE62</f>
        <v>26972205</v>
      </c>
      <c r="F816" s="277">
        <f>CE63</f>
        <v>13493247.789999999</v>
      </c>
      <c r="G816" s="277">
        <f>CE64</f>
        <v>34585887.219999999</v>
      </c>
      <c r="H816" s="280">
        <f>CE65</f>
        <v>1433798.6199999999</v>
      </c>
      <c r="I816" s="280">
        <f>CE66</f>
        <v>65160328.659999996</v>
      </c>
      <c r="J816" s="280">
        <f>CE67</f>
        <v>13605583</v>
      </c>
      <c r="K816" s="280">
        <f>CE68</f>
        <v>7426338.4700000007</v>
      </c>
      <c r="L816" s="280">
        <f>CE69</f>
        <v>15088173.600000001</v>
      </c>
      <c r="M816" s="280">
        <f>CE70</f>
        <v>12107257.299999999</v>
      </c>
      <c r="N816" s="277">
        <f>CE75</f>
        <v>1411694050.7800004</v>
      </c>
      <c r="O816" s="277">
        <f>CE73</f>
        <v>551004880.28000021</v>
      </c>
      <c r="P816" s="277">
        <f>CE76</f>
        <v>259284.66999999998</v>
      </c>
      <c r="Q816" s="277">
        <f>CE77</f>
        <v>112544</v>
      </c>
      <c r="R816" s="277">
        <f>CE78</f>
        <v>71685.97</v>
      </c>
      <c r="S816" s="277">
        <f>CE79</f>
        <v>1034185.2000000001</v>
      </c>
      <c r="T816" s="281">
        <f>CE80</f>
        <v>338.47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76645520.290000021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118552060.45999999</v>
      </c>
      <c r="E817" s="180">
        <f>C379</f>
        <v>26972204.379999999</v>
      </c>
      <c r="F817" s="180">
        <f>C380</f>
        <v>13493247.789999999</v>
      </c>
      <c r="G817" s="240">
        <f>C381</f>
        <v>34585887.219999999</v>
      </c>
      <c r="H817" s="240">
        <f>C382</f>
        <v>1434237.32</v>
      </c>
      <c r="I817" s="240">
        <f>C383</f>
        <v>65160328.68</v>
      </c>
      <c r="J817" s="240">
        <f>C384</f>
        <v>13605590.4</v>
      </c>
      <c r="K817" s="240">
        <f>C385</f>
        <v>7426338.4699999997</v>
      </c>
      <c r="L817" s="240">
        <f>C386+C387+C388+C389</f>
        <v>15088173.6</v>
      </c>
      <c r="M817" s="240">
        <f>C370</f>
        <v>12107256.800000001</v>
      </c>
      <c r="N817" s="180">
        <f>D361</f>
        <v>1411694050.78</v>
      </c>
      <c r="O817" s="180">
        <f>C359</f>
        <v>551004880.27999997</v>
      </c>
    </row>
  </sheetData>
  <sheetProtection algorithmName="SHA-512" hashValue="WOZEE8+eDsoC2yOfCNDQRl1md+2N1DVh1K1pJlbryUhaQLvQs/vFOhd4LZMSIF9DqlSz16SX5WASN6hI3QIptg==" saltValue="37b4OFiBV40mdACDmErtyQ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41" transitionEvaluation="1" transitionEntry="1" codeName="Sheet10">
    <pageSetUpPr autoPageBreaks="0" fitToPage="1"/>
  </sheetPr>
  <dimension ref="A1:CF817"/>
  <sheetViews>
    <sheetView showGridLines="0" topLeftCell="A41" zoomScale="75" workbookViewId="0">
      <selection activeCell="A152" sqref="A152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>
        <v>25266239</v>
      </c>
      <c r="C47" s="184">
        <v>1063433.71</v>
      </c>
      <c r="D47" s="184">
        <v>0</v>
      </c>
      <c r="E47" s="184">
        <v>4161219.26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1370660.16</v>
      </c>
      <c r="P47" s="184">
        <v>2103162.21</v>
      </c>
      <c r="Q47" s="184">
        <v>687474.94000000006</v>
      </c>
      <c r="R47" s="184">
        <v>0</v>
      </c>
      <c r="S47" s="184">
        <v>469010.01</v>
      </c>
      <c r="T47" s="184">
        <v>61801.759999999995</v>
      </c>
      <c r="U47" s="184">
        <v>520409.74000000005</v>
      </c>
      <c r="V47" s="184">
        <v>0</v>
      </c>
      <c r="W47" s="184">
        <v>0</v>
      </c>
      <c r="X47" s="184">
        <v>196689.35</v>
      </c>
      <c r="Y47" s="184">
        <v>915042.23</v>
      </c>
      <c r="Z47" s="184">
        <v>0</v>
      </c>
      <c r="AA47" s="184">
        <v>88134.760000000009</v>
      </c>
      <c r="AB47" s="184">
        <v>688507.88</v>
      </c>
      <c r="AC47" s="184">
        <v>287838.11</v>
      </c>
      <c r="AD47" s="184">
        <v>0</v>
      </c>
      <c r="AE47" s="184">
        <v>441428.23</v>
      </c>
      <c r="AF47" s="184">
        <v>0</v>
      </c>
      <c r="AG47" s="184">
        <v>2051819.7000000002</v>
      </c>
      <c r="AH47" s="184">
        <v>0</v>
      </c>
      <c r="AI47" s="184">
        <v>0</v>
      </c>
      <c r="AJ47" s="184">
        <v>7259946.2700000005</v>
      </c>
      <c r="AK47" s="184">
        <v>76719.399999999994</v>
      </c>
      <c r="AL47" s="184">
        <v>33428.200000000012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279530.05000000005</v>
      </c>
      <c r="AW47" s="184">
        <v>0</v>
      </c>
      <c r="AX47" s="184">
        <v>0</v>
      </c>
      <c r="AY47" s="184">
        <v>0</v>
      </c>
      <c r="AZ47" s="184">
        <v>660935.96</v>
      </c>
      <c r="BA47" s="184">
        <v>17848.64</v>
      </c>
      <c r="BB47" s="184">
        <v>0</v>
      </c>
      <c r="BC47" s="184">
        <v>119777.16999999998</v>
      </c>
      <c r="BD47" s="184">
        <v>0</v>
      </c>
      <c r="BE47" s="184">
        <v>140501.32</v>
      </c>
      <c r="BF47" s="184">
        <v>546116.98</v>
      </c>
      <c r="BG47" s="184">
        <v>0</v>
      </c>
      <c r="BH47" s="184">
        <v>0</v>
      </c>
      <c r="BI47" s="184">
        <v>4652.1500000000015</v>
      </c>
      <c r="BJ47" s="184">
        <v>0</v>
      </c>
      <c r="BK47" s="184">
        <v>0</v>
      </c>
      <c r="BL47" s="184">
        <v>25620.989999999998</v>
      </c>
      <c r="BM47" s="184">
        <v>0</v>
      </c>
      <c r="BN47" s="184">
        <v>499083.85</v>
      </c>
      <c r="BO47" s="184">
        <v>0</v>
      </c>
      <c r="BP47" s="184">
        <v>0</v>
      </c>
      <c r="BQ47" s="184">
        <v>0</v>
      </c>
      <c r="BR47" s="184">
        <v>486.44999999939728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0</v>
      </c>
      <c r="BY47" s="184">
        <v>323622.51</v>
      </c>
      <c r="BZ47" s="184">
        <v>0</v>
      </c>
      <c r="CA47" s="184">
        <v>147418.91000000003</v>
      </c>
      <c r="CB47" s="184">
        <v>0</v>
      </c>
      <c r="CC47" s="184">
        <v>23918</v>
      </c>
      <c r="CD47" s="195"/>
      <c r="CE47" s="195">
        <f>SUM(C47:CC47)</f>
        <v>25266238.900000002</v>
      </c>
    </row>
    <row r="48" spans="1:83" ht="12.6" customHeight="1" x14ac:dyDescent="0.2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">
      <c r="A49" s="175" t="s">
        <v>206</v>
      </c>
      <c r="B49" s="195">
        <f>B47+B48</f>
        <v>25266239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>
        <f>13771388-4165715</f>
        <v>9605673</v>
      </c>
      <c r="C51" s="184">
        <v>185551.57</v>
      </c>
      <c r="D51" s="184">
        <v>0</v>
      </c>
      <c r="E51" s="184">
        <v>90794.470000000016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172817.19999999998</v>
      </c>
      <c r="P51" s="184">
        <v>5211782.33</v>
      </c>
      <c r="Q51" s="184">
        <v>588.82000000000005</v>
      </c>
      <c r="R51" s="184">
        <v>0</v>
      </c>
      <c r="S51" s="184">
        <v>66958.59</v>
      </c>
      <c r="T51" s="184">
        <v>7650.28</v>
      </c>
      <c r="U51" s="184">
        <v>101542.78</v>
      </c>
      <c r="V51" s="184">
        <v>0</v>
      </c>
      <c r="W51" s="184">
        <v>0</v>
      </c>
      <c r="X51" s="184">
        <v>141344.47</v>
      </c>
      <c r="Y51" s="184">
        <v>392728.6</v>
      </c>
      <c r="Z51" s="184">
        <v>0</v>
      </c>
      <c r="AA51" s="184">
        <v>3077.19</v>
      </c>
      <c r="AB51" s="184">
        <v>196197.36000000002</v>
      </c>
      <c r="AC51" s="184">
        <v>12533.49</v>
      </c>
      <c r="AD51" s="184">
        <v>0</v>
      </c>
      <c r="AE51" s="184">
        <v>61948.34</v>
      </c>
      <c r="AF51" s="184">
        <v>0</v>
      </c>
      <c r="AG51" s="184">
        <v>102748.80999999998</v>
      </c>
      <c r="AH51" s="184">
        <v>0</v>
      </c>
      <c r="AI51" s="184">
        <v>0</v>
      </c>
      <c r="AJ51" s="184">
        <v>2539983.8699999996</v>
      </c>
      <c r="AK51" s="184">
        <v>239.42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19259.27</v>
      </c>
      <c r="AW51" s="184">
        <v>0</v>
      </c>
      <c r="AX51" s="184">
        <v>0</v>
      </c>
      <c r="AY51" s="184">
        <v>0</v>
      </c>
      <c r="AZ51" s="184">
        <v>45495.199999999997</v>
      </c>
      <c r="BA51" s="184">
        <v>0</v>
      </c>
      <c r="BB51" s="184">
        <v>0</v>
      </c>
      <c r="BC51" s="184">
        <v>0</v>
      </c>
      <c r="BD51" s="184">
        <v>0</v>
      </c>
      <c r="BE51" s="184">
        <v>216547.36000000004</v>
      </c>
      <c r="BF51" s="184">
        <v>238.77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655.55</v>
      </c>
      <c r="BM51" s="184">
        <v>0</v>
      </c>
      <c r="BN51" s="184">
        <v>54.8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32934.629999999997</v>
      </c>
      <c r="BZ51" s="184">
        <v>0</v>
      </c>
      <c r="CA51" s="184">
        <v>0</v>
      </c>
      <c r="CB51" s="184">
        <v>0</v>
      </c>
      <c r="CC51" s="184">
        <v>2003</v>
      </c>
      <c r="CD51" s="195"/>
      <c r="CE51" s="195">
        <f>SUM(C51:CD51)</f>
        <v>9605676.1699999999</v>
      </c>
    </row>
    <row r="52" spans="1:84" ht="12.6" customHeight="1" x14ac:dyDescent="0.2">
      <c r="A52" s="171" t="s">
        <v>208</v>
      </c>
      <c r="B52" s="184">
        <v>4165715</v>
      </c>
      <c r="C52" s="195">
        <f>ROUND((B52/(CE76+CF76)*C76),0)</f>
        <v>178527</v>
      </c>
      <c r="D52" s="195">
        <f>ROUND((B52/(CE76+CF76)*D76),0)</f>
        <v>0</v>
      </c>
      <c r="E52" s="195">
        <f>ROUND((B52/(CE76+CF76)*E76),0)</f>
        <v>785805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68345</v>
      </c>
      <c r="P52" s="195">
        <f>ROUND((B52/(CE76+CF76)*P76),0)</f>
        <v>378679</v>
      </c>
      <c r="Q52" s="195">
        <f>ROUND((B52/(CE76+CF76)*Q76),0)</f>
        <v>19890</v>
      </c>
      <c r="R52" s="195">
        <f>ROUND((B52/(CE76+CF76)*R76),0)</f>
        <v>0</v>
      </c>
      <c r="S52" s="195">
        <f>ROUND((B52/(CE76+CF76)*S76),0)</f>
        <v>89521</v>
      </c>
      <c r="T52" s="195">
        <f>ROUND((B52/(CE76+CF76)*T76),0)</f>
        <v>0</v>
      </c>
      <c r="U52" s="195">
        <f>ROUND((B52/(CE76+CF76)*U76),0)</f>
        <v>107820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12644</v>
      </c>
      <c r="Y52" s="195">
        <f>ROUND((B52/(CE76+CF76)*Y76),0)</f>
        <v>395195</v>
      </c>
      <c r="Z52" s="195">
        <f>ROUND((B52/(CE76+CF76)*Z76),0)</f>
        <v>0</v>
      </c>
      <c r="AA52" s="195">
        <f>ROUND((B52/(CE76+CF76)*AA76),0)</f>
        <v>12660</v>
      </c>
      <c r="AB52" s="195">
        <f>ROUND((B52/(CE76+CF76)*AB76),0)</f>
        <v>133429</v>
      </c>
      <c r="AC52" s="195">
        <f>ROUND((B52/(CE76+CF76)*AC76),0)</f>
        <v>19038</v>
      </c>
      <c r="AD52" s="195">
        <f>ROUND((B52/(CE76+CF76)*AD76),0)</f>
        <v>0</v>
      </c>
      <c r="AE52" s="195">
        <f>ROUND((B52/(CE76+CF76)*AE76),0)</f>
        <v>158366</v>
      </c>
      <c r="AF52" s="195">
        <f>ROUND((B52/(CE76+CF76)*AF76),0)</f>
        <v>0</v>
      </c>
      <c r="AG52" s="195">
        <f>ROUND((B52/(CE76+CF76)*AG76),0)</f>
        <v>163345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52986</v>
      </c>
      <c r="AL52" s="195">
        <f>ROUND((B52/(CE76+CF76)*AL76),0)</f>
        <v>11086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12901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91706</v>
      </c>
      <c r="BA52" s="195">
        <f>ROUND((B52/(CE76+CF76)*BA76),0)</f>
        <v>34687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970187</v>
      </c>
      <c r="BF52" s="195">
        <f>ROUND((B52/(CE76+CF76)*BF76),0)</f>
        <v>10041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7776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385973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41290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23810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4165707</v>
      </c>
    </row>
    <row r="53" spans="1:84" ht="12.6" customHeight="1" x14ac:dyDescent="0.2">
      <c r="A53" s="175" t="s">
        <v>206</v>
      </c>
      <c r="B53" s="195">
        <f>B51+B52</f>
        <v>13771388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>
        <v>4163</v>
      </c>
      <c r="D59" s="184"/>
      <c r="E59" s="184">
        <f>-2412+30741</f>
        <v>28329</v>
      </c>
      <c r="F59" s="184"/>
      <c r="G59" s="184"/>
      <c r="H59" s="184"/>
      <c r="I59" s="184"/>
      <c r="J59" s="184">
        <v>2112</v>
      </c>
      <c r="K59" s="184"/>
      <c r="L59" s="184"/>
      <c r="M59" s="184"/>
      <c r="N59" s="184"/>
      <c r="O59" s="184">
        <v>5649</v>
      </c>
      <c r="P59" s="185">
        <v>647410</v>
      </c>
      <c r="Q59" s="185">
        <v>19094</v>
      </c>
      <c r="R59" s="185"/>
      <c r="S59" s="248"/>
      <c r="T59" s="248"/>
      <c r="U59" s="224">
        <v>457730</v>
      </c>
      <c r="V59" s="185"/>
      <c r="W59" s="185"/>
      <c r="X59" s="185">
        <v>21858</v>
      </c>
      <c r="Y59" s="185">
        <v>180947</v>
      </c>
      <c r="Z59" s="185"/>
      <c r="AA59" s="185">
        <v>1984</v>
      </c>
      <c r="AB59" s="248"/>
      <c r="AC59" s="185">
        <v>41333</v>
      </c>
      <c r="AD59" s="185"/>
      <c r="AE59" s="185">
        <v>82798</v>
      </c>
      <c r="AF59" s="185"/>
      <c r="AG59" s="185">
        <v>51261</v>
      </c>
      <c r="AH59" s="185"/>
      <c r="AI59" s="185"/>
      <c r="AJ59" s="185">
        <f>33011+255720</f>
        <v>288731</v>
      </c>
      <c r="AK59" s="185">
        <v>13455</v>
      </c>
      <c r="AL59" s="185">
        <v>2659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158146</v>
      </c>
      <c r="AZ59" s="286">
        <v>287297</v>
      </c>
      <c r="BA59" s="248"/>
      <c r="BB59" s="248"/>
      <c r="BC59" s="248"/>
      <c r="BD59" s="248"/>
      <c r="BE59" s="185">
        <v>259285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>
        <v>45.15</v>
      </c>
      <c r="D60" s="187"/>
      <c r="E60" s="187">
        <v>191.23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56.39</v>
      </c>
      <c r="P60" s="221">
        <v>96.6</v>
      </c>
      <c r="Q60" s="221">
        <v>28.45</v>
      </c>
      <c r="R60" s="221"/>
      <c r="S60" s="221">
        <v>26.41</v>
      </c>
      <c r="T60" s="221">
        <v>2.39</v>
      </c>
      <c r="U60" s="221">
        <v>25.93</v>
      </c>
      <c r="V60" s="221"/>
      <c r="W60" s="221">
        <v>3.38</v>
      </c>
      <c r="X60" s="221">
        <v>8.06</v>
      </c>
      <c r="Y60" s="221">
        <v>36.479999999999997</v>
      </c>
      <c r="Z60" s="221"/>
      <c r="AA60" s="221">
        <v>3.38</v>
      </c>
      <c r="AB60" s="221">
        <v>27.49</v>
      </c>
      <c r="AC60" s="221">
        <v>12.52</v>
      </c>
      <c r="AD60" s="221"/>
      <c r="AE60" s="221">
        <v>18.71</v>
      </c>
      <c r="AF60" s="221"/>
      <c r="AG60" s="221">
        <v>94.63</v>
      </c>
      <c r="AH60" s="221"/>
      <c r="AI60" s="221"/>
      <c r="AJ60" s="221">
        <f>16.88+347.04</f>
        <v>363.92</v>
      </c>
      <c r="AK60" s="221">
        <v>3.09</v>
      </c>
      <c r="AL60" s="221">
        <v>1.39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13.74</v>
      </c>
      <c r="AW60" s="221"/>
      <c r="AX60" s="221"/>
      <c r="AY60" s="221"/>
      <c r="AZ60" s="221">
        <v>38.32</v>
      </c>
      <c r="BA60" s="221">
        <v>1.02</v>
      </c>
      <c r="BB60" s="221"/>
      <c r="BC60" s="221">
        <v>6.85</v>
      </c>
      <c r="BD60" s="221"/>
      <c r="BE60" s="221">
        <v>7.32</v>
      </c>
      <c r="BF60" s="221">
        <v>32.32</v>
      </c>
      <c r="BG60" s="221"/>
      <c r="BH60" s="221"/>
      <c r="BI60" s="221">
        <v>0.3</v>
      </c>
      <c r="BJ60" s="221"/>
      <c r="BK60" s="221"/>
      <c r="BL60" s="221">
        <v>1.85</v>
      </c>
      <c r="BM60" s="221"/>
      <c r="BN60" s="221">
        <v>22.54</v>
      </c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>
        <v>13.24</v>
      </c>
      <c r="BZ60" s="221"/>
      <c r="CA60" s="221">
        <v>5.62</v>
      </c>
      <c r="CB60" s="221"/>
      <c r="CC60" s="221"/>
      <c r="CD60" s="249" t="s">
        <v>221</v>
      </c>
      <c r="CE60" s="251">
        <f t="shared" ref="CE60:CE70" si="0">SUM(C60:CD60)</f>
        <v>1188.7199999999996</v>
      </c>
    </row>
    <row r="61" spans="1:84" ht="12.6" customHeight="1" x14ac:dyDescent="0.2">
      <c r="A61" s="171" t="s">
        <v>235</v>
      </c>
      <c r="B61" s="175"/>
      <c r="C61" s="184">
        <v>4361906.9000000004</v>
      </c>
      <c r="D61" s="184">
        <v>0</v>
      </c>
      <c r="E61" s="184">
        <v>15635320.34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5847750.7400000002</v>
      </c>
      <c r="P61" s="184">
        <v>8626997.2100000009</v>
      </c>
      <c r="Q61" s="184">
        <v>3136237.9</v>
      </c>
      <c r="R61" s="184">
        <v>0</v>
      </c>
      <c r="S61" s="184">
        <v>1315114.96</v>
      </c>
      <c r="T61" s="184">
        <v>268873.64</v>
      </c>
      <c r="U61" s="184">
        <v>1738896.5</v>
      </c>
      <c r="V61" s="184">
        <v>0</v>
      </c>
      <c r="W61" s="184">
        <v>0</v>
      </c>
      <c r="X61" s="184">
        <v>817014.29000000015</v>
      </c>
      <c r="Y61" s="184">
        <v>3726189.06</v>
      </c>
      <c r="Z61" s="184">
        <v>0</v>
      </c>
      <c r="AA61" s="184">
        <v>362209.06</v>
      </c>
      <c r="AB61" s="184">
        <v>3026579.8</v>
      </c>
      <c r="AC61" s="184">
        <v>1136735.24</v>
      </c>
      <c r="AD61" s="184">
        <v>0</v>
      </c>
      <c r="AE61" s="184">
        <v>1796624.2900000003</v>
      </c>
      <c r="AF61" s="184">
        <v>0</v>
      </c>
      <c r="AG61" s="184">
        <v>8294966.6699999999</v>
      </c>
      <c r="AH61" s="184">
        <v>0</v>
      </c>
      <c r="AI61" s="184">
        <v>0</v>
      </c>
      <c r="AJ61" s="184">
        <v>40023145.109999985</v>
      </c>
      <c r="AK61" s="184">
        <v>322216.56999999995</v>
      </c>
      <c r="AL61" s="184">
        <v>136089.09</v>
      </c>
      <c r="AM61" s="184">
        <v>0</v>
      </c>
      <c r="AN61" s="184">
        <v>0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974892.49000000011</v>
      </c>
      <c r="AW61" s="184">
        <v>0</v>
      </c>
      <c r="AX61" s="184">
        <v>0</v>
      </c>
      <c r="AY61" s="184">
        <v>0</v>
      </c>
      <c r="AZ61" s="184">
        <v>1726352.3399999999</v>
      </c>
      <c r="BA61" s="184">
        <v>49429.070000000007</v>
      </c>
      <c r="BB61" s="184">
        <v>0</v>
      </c>
      <c r="BC61" s="184">
        <v>321620.57999999996</v>
      </c>
      <c r="BD61" s="184">
        <v>0</v>
      </c>
      <c r="BE61" s="184">
        <v>447711.03000000009</v>
      </c>
      <c r="BF61" s="184">
        <v>1539936.8499999996</v>
      </c>
      <c r="BG61" s="184">
        <v>0</v>
      </c>
      <c r="BH61" s="184">
        <v>0</v>
      </c>
      <c r="BI61" s="184">
        <v>9842.83</v>
      </c>
      <c r="BJ61" s="184">
        <v>0</v>
      </c>
      <c r="BK61" s="184">
        <v>0</v>
      </c>
      <c r="BL61" s="184">
        <v>79742.850000000006</v>
      </c>
      <c r="BM61" s="184">
        <v>0</v>
      </c>
      <c r="BN61" s="184">
        <v>2182624.73</v>
      </c>
      <c r="BO61" s="184">
        <v>0</v>
      </c>
      <c r="BP61" s="184">
        <v>0</v>
      </c>
      <c r="BQ61" s="184">
        <v>0</v>
      </c>
      <c r="BR61" s="184">
        <v>0</v>
      </c>
      <c r="BS61" s="184">
        <v>0</v>
      </c>
      <c r="BT61" s="184">
        <v>0</v>
      </c>
      <c r="BU61" s="184">
        <v>0</v>
      </c>
      <c r="BV61" s="184">
        <v>0</v>
      </c>
      <c r="BW61" s="184">
        <v>0</v>
      </c>
      <c r="BX61" s="184">
        <v>0</v>
      </c>
      <c r="BY61" s="184">
        <v>1361404.6</v>
      </c>
      <c r="BZ61" s="184">
        <v>0</v>
      </c>
      <c r="CA61" s="184">
        <v>656500.36999999988</v>
      </c>
      <c r="CB61" s="184">
        <v>0</v>
      </c>
      <c r="CC61" s="184">
        <v>255177</v>
      </c>
      <c r="CD61" s="249" t="s">
        <v>221</v>
      </c>
      <c r="CE61" s="195">
        <f t="shared" si="0"/>
        <v>110178102.10999997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1063434</v>
      </c>
      <c r="D62" s="195">
        <f t="shared" si="1"/>
        <v>0</v>
      </c>
      <c r="E62" s="195">
        <f t="shared" si="1"/>
        <v>4161219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1370660</v>
      </c>
      <c r="P62" s="195">
        <f t="shared" si="1"/>
        <v>2103162</v>
      </c>
      <c r="Q62" s="195">
        <f t="shared" si="1"/>
        <v>687475</v>
      </c>
      <c r="R62" s="195">
        <f t="shared" si="1"/>
        <v>0</v>
      </c>
      <c r="S62" s="195">
        <f t="shared" si="1"/>
        <v>469010</v>
      </c>
      <c r="T62" s="195">
        <f t="shared" si="1"/>
        <v>61802</v>
      </c>
      <c r="U62" s="195">
        <f t="shared" si="1"/>
        <v>520410</v>
      </c>
      <c r="V62" s="195">
        <f t="shared" si="1"/>
        <v>0</v>
      </c>
      <c r="W62" s="195">
        <f t="shared" si="1"/>
        <v>0</v>
      </c>
      <c r="X62" s="195">
        <f t="shared" si="1"/>
        <v>196689</v>
      </c>
      <c r="Y62" s="195">
        <f t="shared" si="1"/>
        <v>915042</v>
      </c>
      <c r="Z62" s="195">
        <f t="shared" si="1"/>
        <v>0</v>
      </c>
      <c r="AA62" s="195">
        <f t="shared" si="1"/>
        <v>88135</v>
      </c>
      <c r="AB62" s="195">
        <f t="shared" si="1"/>
        <v>688508</v>
      </c>
      <c r="AC62" s="195">
        <f t="shared" si="1"/>
        <v>287838</v>
      </c>
      <c r="AD62" s="195">
        <f t="shared" si="1"/>
        <v>0</v>
      </c>
      <c r="AE62" s="195">
        <f t="shared" si="1"/>
        <v>441428</v>
      </c>
      <c r="AF62" s="195">
        <f t="shared" si="1"/>
        <v>0</v>
      </c>
      <c r="AG62" s="195">
        <f t="shared" si="1"/>
        <v>2051820</v>
      </c>
      <c r="AH62" s="195">
        <f t="shared" si="1"/>
        <v>0</v>
      </c>
      <c r="AI62" s="195">
        <f t="shared" si="1"/>
        <v>0</v>
      </c>
      <c r="AJ62" s="195">
        <f t="shared" si="1"/>
        <v>7259946</v>
      </c>
      <c r="AK62" s="195">
        <f t="shared" si="1"/>
        <v>76719</v>
      </c>
      <c r="AL62" s="195">
        <f t="shared" si="1"/>
        <v>33428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279530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660936</v>
      </c>
      <c r="BA62" s="195">
        <f>ROUND(BA47+BA48,0)</f>
        <v>17849</v>
      </c>
      <c r="BB62" s="195">
        <f t="shared" si="1"/>
        <v>0</v>
      </c>
      <c r="BC62" s="195">
        <f t="shared" si="1"/>
        <v>119777</v>
      </c>
      <c r="BD62" s="195">
        <f t="shared" si="1"/>
        <v>0</v>
      </c>
      <c r="BE62" s="195">
        <f t="shared" si="1"/>
        <v>140501</v>
      </c>
      <c r="BF62" s="195">
        <f t="shared" si="1"/>
        <v>546117</v>
      </c>
      <c r="BG62" s="195">
        <f t="shared" si="1"/>
        <v>0</v>
      </c>
      <c r="BH62" s="195">
        <f t="shared" si="1"/>
        <v>0</v>
      </c>
      <c r="BI62" s="195">
        <f t="shared" si="1"/>
        <v>4652</v>
      </c>
      <c r="BJ62" s="195">
        <f t="shared" si="1"/>
        <v>0</v>
      </c>
      <c r="BK62" s="195">
        <f t="shared" si="1"/>
        <v>0</v>
      </c>
      <c r="BL62" s="195">
        <f t="shared" si="1"/>
        <v>25621</v>
      </c>
      <c r="BM62" s="195">
        <f t="shared" si="1"/>
        <v>0</v>
      </c>
      <c r="BN62" s="195">
        <f t="shared" si="1"/>
        <v>499084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486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323623</v>
      </c>
      <c r="BZ62" s="195">
        <f t="shared" si="2"/>
        <v>0</v>
      </c>
      <c r="CA62" s="195">
        <f t="shared" si="2"/>
        <v>147419</v>
      </c>
      <c r="CB62" s="195">
        <f t="shared" si="2"/>
        <v>0</v>
      </c>
      <c r="CC62" s="195">
        <f t="shared" si="2"/>
        <v>23918</v>
      </c>
      <c r="CD62" s="249" t="s">
        <v>221</v>
      </c>
      <c r="CE62" s="195">
        <f t="shared" si="0"/>
        <v>25266238</v>
      </c>
      <c r="CF62" s="252"/>
    </row>
    <row r="63" spans="1:84" ht="12.6" customHeight="1" x14ac:dyDescent="0.2">
      <c r="A63" s="171" t="s">
        <v>236</v>
      </c>
      <c r="B63" s="175"/>
      <c r="C63" s="184">
        <v>1426710.7399999998</v>
      </c>
      <c r="D63" s="184">
        <v>0</v>
      </c>
      <c r="E63" s="184">
        <v>46500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434928.25</v>
      </c>
      <c r="P63" s="184">
        <v>2974576.17</v>
      </c>
      <c r="Q63" s="184">
        <v>0</v>
      </c>
      <c r="R63" s="184">
        <v>0</v>
      </c>
      <c r="S63" s="184">
        <v>0</v>
      </c>
      <c r="T63" s="184">
        <v>0</v>
      </c>
      <c r="U63" s="184">
        <v>35085.71</v>
      </c>
      <c r="V63" s="184">
        <v>0</v>
      </c>
      <c r="W63" s="184">
        <v>0</v>
      </c>
      <c r="X63" s="184">
        <v>0</v>
      </c>
      <c r="Y63" s="184">
        <v>29971.200000000001</v>
      </c>
      <c r="Z63" s="184">
        <v>0</v>
      </c>
      <c r="AA63" s="184">
        <v>0</v>
      </c>
      <c r="AB63" s="184">
        <v>0</v>
      </c>
      <c r="AC63" s="184">
        <v>11991</v>
      </c>
      <c r="AD63" s="184">
        <v>0</v>
      </c>
      <c r="AE63" s="184">
        <v>0</v>
      </c>
      <c r="AF63" s="184">
        <v>0</v>
      </c>
      <c r="AG63" s="184">
        <v>1120044.08</v>
      </c>
      <c r="AH63" s="184">
        <v>0</v>
      </c>
      <c r="AI63" s="184">
        <v>0</v>
      </c>
      <c r="AJ63" s="184">
        <v>780923.78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112720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0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3914452</v>
      </c>
      <c r="CD63" s="249" t="s">
        <v>221</v>
      </c>
      <c r="CE63" s="195">
        <f t="shared" si="0"/>
        <v>10887902.93</v>
      </c>
      <c r="CF63" s="252"/>
    </row>
    <row r="64" spans="1:84" ht="12.6" customHeight="1" x14ac:dyDescent="0.2">
      <c r="A64" s="171" t="s">
        <v>237</v>
      </c>
      <c r="B64" s="175"/>
      <c r="C64" s="184">
        <v>570195.30999999994</v>
      </c>
      <c r="D64" s="184">
        <v>0</v>
      </c>
      <c r="E64" s="184">
        <v>1150734.49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499660.69999999995</v>
      </c>
      <c r="P64" s="184">
        <v>19428656.030000001</v>
      </c>
      <c r="Q64" s="184">
        <v>240051.59000000003</v>
      </c>
      <c r="R64" s="184">
        <v>0</v>
      </c>
      <c r="S64" s="184">
        <v>-252873.10000000009</v>
      </c>
      <c r="T64" s="184">
        <v>276536.31</v>
      </c>
      <c r="U64" s="184">
        <v>1748711.26</v>
      </c>
      <c r="V64" s="184">
        <v>0</v>
      </c>
      <c r="W64" s="184">
        <v>0</v>
      </c>
      <c r="X64" s="184">
        <v>209115.62000000002</v>
      </c>
      <c r="Y64" s="184">
        <v>285193.78999999998</v>
      </c>
      <c r="Z64" s="184">
        <v>0</v>
      </c>
      <c r="AA64" s="184">
        <v>346810.81</v>
      </c>
      <c r="AB64" s="184">
        <v>6627448.0500000007</v>
      </c>
      <c r="AC64" s="184">
        <v>200184.92</v>
      </c>
      <c r="AD64" s="184">
        <v>50892.71</v>
      </c>
      <c r="AE64" s="184">
        <v>20379.73</v>
      </c>
      <c r="AF64" s="184">
        <v>0</v>
      </c>
      <c r="AG64" s="184">
        <v>1357405.51</v>
      </c>
      <c r="AH64" s="184">
        <v>0</v>
      </c>
      <c r="AI64" s="184">
        <v>0</v>
      </c>
      <c r="AJ64" s="184">
        <v>2927769.5600000005</v>
      </c>
      <c r="AK64" s="184">
        <v>1223.6799999999998</v>
      </c>
      <c r="AL64" s="184">
        <v>0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119888.98999999999</v>
      </c>
      <c r="AW64" s="184">
        <v>0</v>
      </c>
      <c r="AX64" s="184">
        <v>0</v>
      </c>
      <c r="AY64" s="184">
        <v>0</v>
      </c>
      <c r="AZ64" s="184">
        <v>840608.37000000011</v>
      </c>
      <c r="BA64" s="184">
        <v>13.9</v>
      </c>
      <c r="BB64" s="184">
        <v>0</v>
      </c>
      <c r="BC64" s="184">
        <v>558.52</v>
      </c>
      <c r="BD64" s="184">
        <v>0</v>
      </c>
      <c r="BE64" s="184">
        <v>6274.86</v>
      </c>
      <c r="BF64" s="184">
        <v>207430.53999999998</v>
      </c>
      <c r="BG64" s="184">
        <v>0</v>
      </c>
      <c r="BH64" s="184">
        <v>0</v>
      </c>
      <c r="BI64" s="184">
        <v>59971.69</v>
      </c>
      <c r="BJ64" s="184">
        <v>0</v>
      </c>
      <c r="BK64" s="184">
        <v>0</v>
      </c>
      <c r="BL64" s="184">
        <v>15918.279999999999</v>
      </c>
      <c r="BM64" s="184">
        <v>0</v>
      </c>
      <c r="BN64" s="184">
        <v>106609.95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0</v>
      </c>
      <c r="BU64" s="184">
        <v>0</v>
      </c>
      <c r="BV64" s="184">
        <v>0</v>
      </c>
      <c r="BW64" s="184">
        <v>0</v>
      </c>
      <c r="BX64" s="184">
        <v>0</v>
      </c>
      <c r="BY64" s="184">
        <v>12005.170000000002</v>
      </c>
      <c r="BZ64" s="184">
        <v>0</v>
      </c>
      <c r="CA64" s="184">
        <v>32.9</v>
      </c>
      <c r="CB64" s="184">
        <v>0</v>
      </c>
      <c r="CC64" s="184">
        <v>131478</v>
      </c>
      <c r="CD64" s="249" t="s">
        <v>221</v>
      </c>
      <c r="CE64" s="195">
        <f t="shared" si="0"/>
        <v>37188888.140000008</v>
      </c>
      <c r="CF64" s="252"/>
    </row>
    <row r="65" spans="1:84" ht="12.6" customHeight="1" x14ac:dyDescent="0.2">
      <c r="A65" s="171" t="s">
        <v>238</v>
      </c>
      <c r="B65" s="175"/>
      <c r="C65" s="184">
        <v>501.42</v>
      </c>
      <c r="D65" s="184">
        <v>0</v>
      </c>
      <c r="E65" s="184">
        <v>3441.1100000000006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1841.77</v>
      </c>
      <c r="P65" s="184">
        <v>18704.52</v>
      </c>
      <c r="Q65" s="184">
        <v>1071.77</v>
      </c>
      <c r="R65" s="184">
        <v>0</v>
      </c>
      <c r="S65" s="184">
        <v>0</v>
      </c>
      <c r="T65" s="184">
        <v>0</v>
      </c>
      <c r="U65" s="184">
        <v>97.38</v>
      </c>
      <c r="V65" s="184">
        <v>0</v>
      </c>
      <c r="W65" s="184">
        <v>0</v>
      </c>
      <c r="X65" s="184">
        <v>96.8</v>
      </c>
      <c r="Y65" s="184">
        <v>6612.52</v>
      </c>
      <c r="Z65" s="184">
        <v>0</v>
      </c>
      <c r="AA65" s="184">
        <v>327.75</v>
      </c>
      <c r="AB65" s="184">
        <v>7174.6900000000005</v>
      </c>
      <c r="AC65" s="184">
        <v>389.51</v>
      </c>
      <c r="AD65" s="184">
        <v>0</v>
      </c>
      <c r="AE65" s="184">
        <v>4522.58</v>
      </c>
      <c r="AF65" s="184">
        <v>0</v>
      </c>
      <c r="AG65" s="184">
        <v>2185.56</v>
      </c>
      <c r="AH65" s="184">
        <v>0</v>
      </c>
      <c r="AI65" s="184">
        <v>0</v>
      </c>
      <c r="AJ65" s="184">
        <v>178365.35000000006</v>
      </c>
      <c r="AK65" s="184">
        <v>292.14</v>
      </c>
      <c r="AL65" s="184">
        <v>97.38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1161.8900000000001</v>
      </c>
      <c r="AW65" s="184">
        <v>0</v>
      </c>
      <c r="AX65" s="184">
        <v>0</v>
      </c>
      <c r="AY65" s="184">
        <v>0</v>
      </c>
      <c r="AZ65" s="184">
        <v>1149.56</v>
      </c>
      <c r="BA65" s="184">
        <v>0</v>
      </c>
      <c r="BB65" s="184">
        <v>0</v>
      </c>
      <c r="BC65" s="184">
        <v>374.05</v>
      </c>
      <c r="BD65" s="184">
        <v>0</v>
      </c>
      <c r="BE65" s="184">
        <v>1160855.06</v>
      </c>
      <c r="BF65" s="184">
        <v>997.71</v>
      </c>
      <c r="BG65" s="184">
        <v>0</v>
      </c>
      <c r="BH65" s="184">
        <v>0</v>
      </c>
      <c r="BI65" s="184">
        <v>0</v>
      </c>
      <c r="BJ65" s="184">
        <v>0</v>
      </c>
      <c r="BK65" s="184">
        <v>0</v>
      </c>
      <c r="BL65" s="184">
        <v>368.67000000000007</v>
      </c>
      <c r="BM65" s="184">
        <v>0</v>
      </c>
      <c r="BN65" s="184">
        <v>451.22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1463.3000000000002</v>
      </c>
      <c r="BZ65" s="184">
        <v>0</v>
      </c>
      <c r="CA65" s="184">
        <v>0</v>
      </c>
      <c r="CB65" s="184">
        <v>0</v>
      </c>
      <c r="CC65" s="184">
        <v>0</v>
      </c>
      <c r="CD65" s="249" t="s">
        <v>221</v>
      </c>
      <c r="CE65" s="195">
        <f t="shared" si="0"/>
        <v>1392543.71</v>
      </c>
      <c r="CF65" s="252"/>
    </row>
    <row r="66" spans="1:84" ht="12.6" customHeight="1" x14ac:dyDescent="0.2">
      <c r="A66" s="171" t="s">
        <v>239</v>
      </c>
      <c r="B66" s="175"/>
      <c r="C66" s="184">
        <v>15543.69</v>
      </c>
      <c r="D66" s="184">
        <v>0</v>
      </c>
      <c r="E66" s="184">
        <v>1036021.5687599999</v>
      </c>
      <c r="F66" s="184">
        <v>0</v>
      </c>
      <c r="G66" s="184">
        <v>55580.076440000004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257867.93999999997</v>
      </c>
      <c r="P66" s="184">
        <v>2240043.6105599995</v>
      </c>
      <c r="Q66" s="184">
        <v>33263.359999999993</v>
      </c>
      <c r="R66" s="184">
        <v>0</v>
      </c>
      <c r="S66" s="184">
        <v>296489.79502595996</v>
      </c>
      <c r="T66" s="184">
        <v>100047.67303999999</v>
      </c>
      <c r="U66" s="184">
        <v>1202391.2000000002</v>
      </c>
      <c r="V66" s="184">
        <v>0</v>
      </c>
      <c r="W66" s="184">
        <v>0</v>
      </c>
      <c r="X66" s="184">
        <v>79832.990000000005</v>
      </c>
      <c r="Y66" s="184">
        <v>1442072.47</v>
      </c>
      <c r="Z66" s="184">
        <v>0</v>
      </c>
      <c r="AA66" s="184">
        <v>493767.37000000005</v>
      </c>
      <c r="AB66" s="184">
        <v>441529.92999999993</v>
      </c>
      <c r="AC66" s="184">
        <v>9357.34</v>
      </c>
      <c r="AD66" s="184">
        <v>503451.63</v>
      </c>
      <c r="AE66" s="184">
        <v>41325.4</v>
      </c>
      <c r="AF66" s="184">
        <v>0</v>
      </c>
      <c r="AG66" s="184">
        <v>1774790.8742999998</v>
      </c>
      <c r="AH66" s="184">
        <v>0</v>
      </c>
      <c r="AI66" s="184">
        <v>0</v>
      </c>
      <c r="AJ66" s="184">
        <v>5715054.0199999996</v>
      </c>
      <c r="AK66" s="184">
        <v>1321.63</v>
      </c>
      <c r="AL66" s="184">
        <v>584</v>
      </c>
      <c r="AM66" s="184">
        <v>0</v>
      </c>
      <c r="AN66" s="184">
        <v>0</v>
      </c>
      <c r="AO66" s="184">
        <v>0</v>
      </c>
      <c r="AP66" s="184">
        <v>0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1083936.0734399999</v>
      </c>
      <c r="AW66" s="184">
        <v>0</v>
      </c>
      <c r="AX66" s="184">
        <v>90426.435839999991</v>
      </c>
      <c r="AY66" s="184">
        <v>0</v>
      </c>
      <c r="AZ66" s="184">
        <v>652079.28000000014</v>
      </c>
      <c r="BA66" s="184">
        <v>999.99</v>
      </c>
      <c r="BB66" s="184">
        <v>0</v>
      </c>
      <c r="BC66" s="184">
        <v>0</v>
      </c>
      <c r="BD66" s="184">
        <v>0</v>
      </c>
      <c r="BE66" s="184">
        <v>5461708.9520799993</v>
      </c>
      <c r="BF66" s="184">
        <v>222533.98999999993</v>
      </c>
      <c r="BG66" s="184">
        <v>389276.50388000003</v>
      </c>
      <c r="BH66" s="184">
        <v>1695883.3672</v>
      </c>
      <c r="BI66" s="184">
        <v>541.12</v>
      </c>
      <c r="BJ66" s="184">
        <v>404906.16291999992</v>
      </c>
      <c r="BK66" s="184">
        <v>2621220.3315065242</v>
      </c>
      <c r="BL66" s="184">
        <v>3410137.8930400005</v>
      </c>
      <c r="BM66" s="184">
        <v>0</v>
      </c>
      <c r="BN66" s="184">
        <v>2654526.5678712195</v>
      </c>
      <c r="BO66" s="184">
        <v>295139.38695999997</v>
      </c>
      <c r="BP66" s="184">
        <v>1555366.5328800001</v>
      </c>
      <c r="BQ66" s="184">
        <v>0</v>
      </c>
      <c r="BR66" s="184">
        <v>993025.94715999987</v>
      </c>
      <c r="BS66" s="184">
        <v>81550.92203999999</v>
      </c>
      <c r="BT66" s="184">
        <v>139625.12723999997</v>
      </c>
      <c r="BU66" s="184">
        <v>48639.972760000011</v>
      </c>
      <c r="BV66" s="184">
        <v>3608682.7263086676</v>
      </c>
      <c r="BW66" s="184">
        <v>716660.39091758011</v>
      </c>
      <c r="BX66" s="184">
        <v>4316888.6693151034</v>
      </c>
      <c r="BY66" s="184">
        <v>144506.7078</v>
      </c>
      <c r="BZ66" s="184">
        <v>0</v>
      </c>
      <c r="CA66" s="184">
        <v>431675.82047999999</v>
      </c>
      <c r="CB66" s="184">
        <v>52220.447319999999</v>
      </c>
      <c r="CC66" s="184">
        <f>41290.95+11732651.69</f>
        <v>11773942.639999999</v>
      </c>
      <c r="CD66" s="249" t="s">
        <v>221</v>
      </c>
      <c r="CE66" s="195">
        <f t="shared" si="0"/>
        <v>58586438.527085043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364079</v>
      </c>
      <c r="D67" s="195">
        <f>ROUND(D51+D52,0)</f>
        <v>0</v>
      </c>
      <c r="E67" s="195">
        <f t="shared" ref="E67:BP67" si="3">ROUND(E51+E52,0)</f>
        <v>876599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241162</v>
      </c>
      <c r="P67" s="195">
        <f t="shared" si="3"/>
        <v>5590461</v>
      </c>
      <c r="Q67" s="195">
        <f t="shared" si="3"/>
        <v>20479</v>
      </c>
      <c r="R67" s="195">
        <f t="shared" si="3"/>
        <v>0</v>
      </c>
      <c r="S67" s="195">
        <f t="shared" si="3"/>
        <v>156480</v>
      </c>
      <c r="T67" s="195">
        <f t="shared" si="3"/>
        <v>7650</v>
      </c>
      <c r="U67" s="195">
        <f t="shared" si="3"/>
        <v>209363</v>
      </c>
      <c r="V67" s="195">
        <f t="shared" si="3"/>
        <v>0</v>
      </c>
      <c r="W67" s="195">
        <f t="shared" si="3"/>
        <v>0</v>
      </c>
      <c r="X67" s="195">
        <f t="shared" si="3"/>
        <v>153988</v>
      </c>
      <c r="Y67" s="195">
        <f t="shared" si="3"/>
        <v>787924</v>
      </c>
      <c r="Z67" s="195">
        <f t="shared" si="3"/>
        <v>0</v>
      </c>
      <c r="AA67" s="195">
        <f t="shared" si="3"/>
        <v>15737</v>
      </c>
      <c r="AB67" s="195">
        <f t="shared" si="3"/>
        <v>329626</v>
      </c>
      <c r="AC67" s="195">
        <f t="shared" si="3"/>
        <v>31571</v>
      </c>
      <c r="AD67" s="195">
        <f t="shared" si="3"/>
        <v>0</v>
      </c>
      <c r="AE67" s="195">
        <f t="shared" si="3"/>
        <v>220314</v>
      </c>
      <c r="AF67" s="195">
        <f t="shared" si="3"/>
        <v>0</v>
      </c>
      <c r="AG67" s="195">
        <f t="shared" si="3"/>
        <v>266094</v>
      </c>
      <c r="AH67" s="195">
        <f t="shared" si="3"/>
        <v>0</v>
      </c>
      <c r="AI67" s="195">
        <f t="shared" si="3"/>
        <v>0</v>
      </c>
      <c r="AJ67" s="195">
        <f t="shared" si="3"/>
        <v>2539984</v>
      </c>
      <c r="AK67" s="195">
        <f t="shared" si="3"/>
        <v>53225</v>
      </c>
      <c r="AL67" s="195">
        <f t="shared" si="3"/>
        <v>11086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32160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137201</v>
      </c>
      <c r="BA67" s="195">
        <f>ROUND(BA51+BA52,0)</f>
        <v>34687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1186734</v>
      </c>
      <c r="BF67" s="195">
        <f t="shared" si="3"/>
        <v>10280</v>
      </c>
      <c r="BG67" s="195">
        <f t="shared" si="3"/>
        <v>0</v>
      </c>
      <c r="BH67" s="195">
        <f t="shared" si="3"/>
        <v>0</v>
      </c>
      <c r="BI67" s="195">
        <f t="shared" si="3"/>
        <v>7776</v>
      </c>
      <c r="BJ67" s="195">
        <f t="shared" si="3"/>
        <v>0</v>
      </c>
      <c r="BK67" s="195">
        <f t="shared" si="3"/>
        <v>0</v>
      </c>
      <c r="BL67" s="195">
        <f t="shared" si="3"/>
        <v>656</v>
      </c>
      <c r="BM67" s="195">
        <f t="shared" si="3"/>
        <v>0</v>
      </c>
      <c r="BN67" s="195">
        <f t="shared" si="3"/>
        <v>386028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41290</v>
      </c>
      <c r="BW67" s="195">
        <f t="shared" si="4"/>
        <v>0</v>
      </c>
      <c r="BX67" s="195">
        <f t="shared" si="4"/>
        <v>0</v>
      </c>
      <c r="BY67" s="195">
        <f t="shared" si="4"/>
        <v>56745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2003</v>
      </c>
      <c r="CD67" s="249" t="s">
        <v>221</v>
      </c>
      <c r="CE67" s="195">
        <f t="shared" si="0"/>
        <v>13771382</v>
      </c>
      <c r="CF67" s="252"/>
    </row>
    <row r="68" spans="1:84" ht="12.6" customHeight="1" x14ac:dyDescent="0.2">
      <c r="A68" s="171" t="s">
        <v>240</v>
      </c>
      <c r="B68" s="175"/>
      <c r="C68" s="184">
        <v>1897.5000000000002</v>
      </c>
      <c r="D68" s="184">
        <v>0</v>
      </c>
      <c r="E68" s="184">
        <v>25264.34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6081.48</v>
      </c>
      <c r="P68" s="184">
        <v>823800.87</v>
      </c>
      <c r="Q68" s="184">
        <v>1284.03</v>
      </c>
      <c r="R68" s="184">
        <v>0</v>
      </c>
      <c r="S68" s="184">
        <v>5219.68</v>
      </c>
      <c r="T68" s="184">
        <v>0</v>
      </c>
      <c r="U68" s="184">
        <v>187357.99999999997</v>
      </c>
      <c r="V68" s="184">
        <v>0</v>
      </c>
      <c r="W68" s="184">
        <v>0</v>
      </c>
      <c r="X68" s="184">
        <v>259.27</v>
      </c>
      <c r="Y68" s="184">
        <v>243979.83999999997</v>
      </c>
      <c r="Z68" s="184">
        <v>0</v>
      </c>
      <c r="AA68" s="184">
        <v>404.19</v>
      </c>
      <c r="AB68" s="184">
        <v>153742.53</v>
      </c>
      <c r="AC68" s="184">
        <v>3206.09</v>
      </c>
      <c r="AD68" s="184">
        <v>0</v>
      </c>
      <c r="AE68" s="184">
        <v>149821.30000000002</v>
      </c>
      <c r="AF68" s="184">
        <v>0</v>
      </c>
      <c r="AG68" s="184">
        <v>23678.080000000002</v>
      </c>
      <c r="AH68" s="184">
        <v>0</v>
      </c>
      <c r="AI68" s="184">
        <v>0</v>
      </c>
      <c r="AJ68" s="184">
        <v>4026792.7900000005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212914.63</v>
      </c>
      <c r="AW68" s="184">
        <v>0</v>
      </c>
      <c r="AX68" s="184">
        <v>0</v>
      </c>
      <c r="AY68" s="184">
        <v>0</v>
      </c>
      <c r="AZ68" s="184">
        <v>24764.19</v>
      </c>
      <c r="BA68" s="184">
        <v>0</v>
      </c>
      <c r="BB68" s="184">
        <v>0</v>
      </c>
      <c r="BC68" s="184">
        <v>0</v>
      </c>
      <c r="BD68" s="184">
        <v>0</v>
      </c>
      <c r="BE68" s="184">
        <v>33619.340000000004</v>
      </c>
      <c r="BF68" s="184">
        <v>802.68</v>
      </c>
      <c r="BG68" s="184">
        <v>0</v>
      </c>
      <c r="BH68" s="184">
        <v>0</v>
      </c>
      <c r="BI68" s="184">
        <v>0</v>
      </c>
      <c r="BJ68" s="184">
        <v>0</v>
      </c>
      <c r="BK68" s="184">
        <v>0</v>
      </c>
      <c r="BL68" s="184">
        <v>8710.58</v>
      </c>
      <c r="BM68" s="184">
        <v>0</v>
      </c>
      <c r="BN68" s="184">
        <v>191218.42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12007.49</v>
      </c>
      <c r="BZ68" s="184">
        <v>0</v>
      </c>
      <c r="CA68" s="184">
        <v>0</v>
      </c>
      <c r="CB68" s="184">
        <v>0</v>
      </c>
      <c r="CC68" s="184">
        <v>303830</v>
      </c>
      <c r="CD68" s="249" t="s">
        <v>221</v>
      </c>
      <c r="CE68" s="195">
        <f t="shared" si="0"/>
        <v>6440657.3200000003</v>
      </c>
      <c r="CF68" s="252"/>
    </row>
    <row r="69" spans="1:84" ht="12.6" customHeight="1" x14ac:dyDescent="0.2">
      <c r="A69" s="171" t="s">
        <v>241</v>
      </c>
      <c r="B69" s="175"/>
      <c r="C69" s="184">
        <v>66526.460000000006</v>
      </c>
      <c r="D69" s="184">
        <v>0</v>
      </c>
      <c r="E69" s="184">
        <v>94000.77</v>
      </c>
      <c r="F69" s="184">
        <v>0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127640.84000000001</v>
      </c>
      <c r="P69" s="184">
        <v>69544.63</v>
      </c>
      <c r="Q69" s="184">
        <v>7654.76</v>
      </c>
      <c r="R69" s="184">
        <v>0</v>
      </c>
      <c r="S69" s="184">
        <v>39755.56</v>
      </c>
      <c r="T69" s="184">
        <v>525</v>
      </c>
      <c r="U69" s="184">
        <v>102485.45999999999</v>
      </c>
      <c r="V69" s="184">
        <v>0</v>
      </c>
      <c r="W69" s="184">
        <v>0</v>
      </c>
      <c r="X69" s="184">
        <v>0</v>
      </c>
      <c r="Y69" s="184">
        <v>3662.75</v>
      </c>
      <c r="Z69" s="184">
        <v>0</v>
      </c>
      <c r="AA69" s="184">
        <v>302.26</v>
      </c>
      <c r="AB69" s="184">
        <v>1362905.8200000003</v>
      </c>
      <c r="AC69" s="184">
        <v>4645.0099999999993</v>
      </c>
      <c r="AD69" s="184">
        <v>0</v>
      </c>
      <c r="AE69" s="184">
        <v>9266.2900000000009</v>
      </c>
      <c r="AF69" s="184">
        <v>0</v>
      </c>
      <c r="AG69" s="184">
        <v>161314.42000000004</v>
      </c>
      <c r="AH69" s="184">
        <v>0</v>
      </c>
      <c r="AI69" s="184">
        <v>0</v>
      </c>
      <c r="AJ69" s="184">
        <v>2059700.4100000001</v>
      </c>
      <c r="AK69" s="184">
        <v>892.34</v>
      </c>
      <c r="AL69" s="184">
        <v>0</v>
      </c>
      <c r="AM69" s="184">
        <v>0</v>
      </c>
      <c r="AN69" s="184">
        <v>0</v>
      </c>
      <c r="AO69" s="184">
        <v>0</v>
      </c>
      <c r="AP69" s="184">
        <v>0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132141</v>
      </c>
      <c r="AW69" s="184">
        <v>0</v>
      </c>
      <c r="AX69" s="184">
        <v>0</v>
      </c>
      <c r="AY69" s="184">
        <v>0</v>
      </c>
      <c r="AZ69" s="184">
        <v>20440.25</v>
      </c>
      <c r="BA69" s="184">
        <v>0</v>
      </c>
      <c r="BB69" s="184">
        <v>0</v>
      </c>
      <c r="BC69" s="184">
        <v>-2774.03</v>
      </c>
      <c r="BD69" s="184">
        <v>0</v>
      </c>
      <c r="BE69" s="184">
        <v>7744.33</v>
      </c>
      <c r="BF69" s="184">
        <v>5984.6399999999994</v>
      </c>
      <c r="BG69" s="184">
        <v>0</v>
      </c>
      <c r="BH69" s="184">
        <v>0</v>
      </c>
      <c r="BI69" s="184">
        <v>841.74</v>
      </c>
      <c r="BJ69" s="184">
        <v>0</v>
      </c>
      <c r="BK69" s="184">
        <v>0</v>
      </c>
      <c r="BL69" s="184">
        <v>1386.1100000000001</v>
      </c>
      <c r="BM69" s="184">
        <v>0</v>
      </c>
      <c r="BN69" s="184">
        <v>490003.41000000003</v>
      </c>
      <c r="BO69" s="184">
        <v>0</v>
      </c>
      <c r="BP69" s="184">
        <v>0</v>
      </c>
      <c r="BQ69" s="184">
        <v>0</v>
      </c>
      <c r="BR69" s="184">
        <v>1204</v>
      </c>
      <c r="BS69" s="184">
        <v>0</v>
      </c>
      <c r="BT69" s="184">
        <v>0</v>
      </c>
      <c r="BU69" s="184">
        <v>0</v>
      </c>
      <c r="BV69" s="184">
        <v>0</v>
      </c>
      <c r="BW69" s="184">
        <v>0</v>
      </c>
      <c r="BX69" s="184">
        <v>0</v>
      </c>
      <c r="BY69" s="184">
        <v>50855.16</v>
      </c>
      <c r="BZ69" s="184">
        <v>0</v>
      </c>
      <c r="CA69" s="184">
        <v>2022.7800000000002</v>
      </c>
      <c r="CB69" s="184">
        <v>0</v>
      </c>
      <c r="CC69" s="184">
        <v>-148056</v>
      </c>
      <c r="CD69" s="184">
        <v>11826339</v>
      </c>
      <c r="CE69" s="195">
        <f t="shared" si="0"/>
        <v>16498955.170000002</v>
      </c>
      <c r="CF69" s="252"/>
    </row>
    <row r="70" spans="1:84" ht="12.6" customHeight="1" x14ac:dyDescent="0.2">
      <c r="A70" s="171" t="s">
        <v>242</v>
      </c>
      <c r="B70" s="175"/>
      <c r="C70" s="184">
        <v>0</v>
      </c>
      <c r="D70" s="184">
        <v>0</v>
      </c>
      <c r="E70" s="184">
        <v>28500</v>
      </c>
      <c r="F70" s="184">
        <v>0</v>
      </c>
      <c r="G70" s="184">
        <v>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4361.83</v>
      </c>
      <c r="P70" s="184">
        <v>4010</v>
      </c>
      <c r="Q70" s="184">
        <v>0</v>
      </c>
      <c r="R70" s="184">
        <v>0</v>
      </c>
      <c r="S70" s="184">
        <v>0</v>
      </c>
      <c r="T70" s="184">
        <v>0</v>
      </c>
      <c r="U70" s="184">
        <v>129380.75</v>
      </c>
      <c r="V70" s="184">
        <v>0</v>
      </c>
      <c r="W70" s="184">
        <v>0</v>
      </c>
      <c r="X70" s="184">
        <v>0</v>
      </c>
      <c r="Y70" s="184">
        <v>5104.5</v>
      </c>
      <c r="Z70" s="184">
        <v>0</v>
      </c>
      <c r="AA70" s="184">
        <v>0</v>
      </c>
      <c r="AB70" s="184">
        <v>2189849.4800000004</v>
      </c>
      <c r="AC70" s="184">
        <v>0</v>
      </c>
      <c r="AD70" s="184">
        <v>51867.4</v>
      </c>
      <c r="AE70" s="184">
        <v>0</v>
      </c>
      <c r="AF70" s="184">
        <v>0</v>
      </c>
      <c r="AG70" s="184">
        <v>986.3</v>
      </c>
      <c r="AH70" s="184">
        <v>0</v>
      </c>
      <c r="AI70" s="184">
        <v>0</v>
      </c>
      <c r="AJ70" s="184">
        <v>1577031.3700000003</v>
      </c>
      <c r="AK70" s="184">
        <v>0</v>
      </c>
      <c r="AL70" s="184">
        <v>0</v>
      </c>
      <c r="AM70" s="184">
        <v>0</v>
      </c>
      <c r="AN70" s="184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0</v>
      </c>
      <c r="AU70" s="184">
        <v>0</v>
      </c>
      <c r="AV70" s="184">
        <v>1825</v>
      </c>
      <c r="AW70" s="184">
        <v>0</v>
      </c>
      <c r="AX70" s="184">
        <v>0</v>
      </c>
      <c r="AY70" s="184">
        <v>0</v>
      </c>
      <c r="AZ70" s="184">
        <v>1078864.8499999999</v>
      </c>
      <c r="BA70" s="184">
        <v>0</v>
      </c>
      <c r="BB70" s="184">
        <v>0</v>
      </c>
      <c r="BC70" s="184">
        <v>0</v>
      </c>
      <c r="BD70" s="184">
        <v>0</v>
      </c>
      <c r="BE70" s="184">
        <v>26824.63</v>
      </c>
      <c r="BF70" s="184">
        <v>0</v>
      </c>
      <c r="BG70" s="184">
        <v>0</v>
      </c>
      <c r="BH70" s="184">
        <v>0</v>
      </c>
      <c r="BI70" s="184">
        <v>99439.88</v>
      </c>
      <c r="BJ70" s="184">
        <v>0</v>
      </c>
      <c r="BK70" s="184">
        <v>0</v>
      </c>
      <c r="BL70" s="184">
        <v>0</v>
      </c>
      <c r="BM70" s="184">
        <v>0</v>
      </c>
      <c r="BN70" s="184">
        <v>0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0</v>
      </c>
      <c r="BU70" s="184">
        <v>0</v>
      </c>
      <c r="BV70" s="184">
        <v>0</v>
      </c>
      <c r="BW70" s="184">
        <v>0</v>
      </c>
      <c r="BX70" s="184">
        <v>0</v>
      </c>
      <c r="BY70" s="184">
        <v>0</v>
      </c>
      <c r="BZ70" s="184">
        <v>0</v>
      </c>
      <c r="CA70" s="184">
        <v>0</v>
      </c>
      <c r="CB70" s="184">
        <v>0</v>
      </c>
      <c r="CC70" s="184">
        <v>0</v>
      </c>
      <c r="CD70" s="184">
        <v>587626</v>
      </c>
      <c r="CE70" s="195">
        <f t="shared" si="0"/>
        <v>5785671.9900000002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7870795.0200000005</v>
      </c>
      <c r="D71" s="195">
        <f t="shared" ref="D71:AI71" si="5">SUM(D61:D69)-D70</f>
        <v>0</v>
      </c>
      <c r="E71" s="195">
        <f t="shared" si="5"/>
        <v>23000600.618759997</v>
      </c>
      <c r="F71" s="195">
        <f t="shared" si="5"/>
        <v>0</v>
      </c>
      <c r="G71" s="195">
        <f t="shared" si="5"/>
        <v>55580.076440000004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8783231.8900000006</v>
      </c>
      <c r="P71" s="195">
        <f t="shared" si="5"/>
        <v>41871936.04056</v>
      </c>
      <c r="Q71" s="195">
        <f t="shared" si="5"/>
        <v>4127517.4099999992</v>
      </c>
      <c r="R71" s="195">
        <f t="shared" si="5"/>
        <v>0</v>
      </c>
      <c r="S71" s="195">
        <f t="shared" si="5"/>
        <v>2029196.8950259599</v>
      </c>
      <c r="T71" s="195">
        <f t="shared" si="5"/>
        <v>715434.62303999998</v>
      </c>
      <c r="U71" s="195">
        <f t="shared" si="5"/>
        <v>5615417.7599999998</v>
      </c>
      <c r="V71" s="195">
        <f t="shared" si="5"/>
        <v>0</v>
      </c>
      <c r="W71" s="195">
        <f t="shared" si="5"/>
        <v>0</v>
      </c>
      <c r="X71" s="195">
        <f t="shared" si="5"/>
        <v>1456995.9700000002</v>
      </c>
      <c r="Y71" s="195">
        <f t="shared" si="5"/>
        <v>7435543.1299999999</v>
      </c>
      <c r="Z71" s="195">
        <f t="shared" si="5"/>
        <v>0</v>
      </c>
      <c r="AA71" s="195">
        <f t="shared" si="5"/>
        <v>1307693.44</v>
      </c>
      <c r="AB71" s="195">
        <f t="shared" si="5"/>
        <v>10447665.34</v>
      </c>
      <c r="AC71" s="195">
        <f t="shared" si="5"/>
        <v>1685918.11</v>
      </c>
      <c r="AD71" s="195">
        <f t="shared" si="5"/>
        <v>502476.93999999994</v>
      </c>
      <c r="AE71" s="195">
        <f t="shared" si="5"/>
        <v>2683681.59</v>
      </c>
      <c r="AF71" s="195">
        <f t="shared" si="5"/>
        <v>0</v>
      </c>
      <c r="AG71" s="195">
        <f t="shared" si="5"/>
        <v>15051312.894299999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63934649.649999999</v>
      </c>
      <c r="AK71" s="195">
        <f t="shared" si="6"/>
        <v>455890.36</v>
      </c>
      <c r="AL71" s="195">
        <f t="shared" si="6"/>
        <v>181284.47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2947520.0734399999</v>
      </c>
      <c r="AW71" s="195">
        <f t="shared" si="6"/>
        <v>0</v>
      </c>
      <c r="AX71" s="195">
        <f t="shared" si="6"/>
        <v>90426.435839999991</v>
      </c>
      <c r="AY71" s="195">
        <f t="shared" si="6"/>
        <v>0</v>
      </c>
      <c r="AZ71" s="195">
        <f t="shared" si="6"/>
        <v>2984666.1400000006</v>
      </c>
      <c r="BA71" s="195">
        <f t="shared" si="6"/>
        <v>102978.96</v>
      </c>
      <c r="BB71" s="195">
        <f t="shared" si="6"/>
        <v>0</v>
      </c>
      <c r="BC71" s="195">
        <f t="shared" si="6"/>
        <v>439556.11999999994</v>
      </c>
      <c r="BD71" s="195">
        <f t="shared" si="6"/>
        <v>0</v>
      </c>
      <c r="BE71" s="195">
        <f t="shared" si="6"/>
        <v>8418323.9420799986</v>
      </c>
      <c r="BF71" s="195">
        <f t="shared" si="6"/>
        <v>2534083.4099999997</v>
      </c>
      <c r="BG71" s="195">
        <f t="shared" si="6"/>
        <v>389276.50388000003</v>
      </c>
      <c r="BH71" s="195">
        <f t="shared" si="6"/>
        <v>1695883.3672</v>
      </c>
      <c r="BI71" s="195">
        <f t="shared" si="6"/>
        <v>-15814.5</v>
      </c>
      <c r="BJ71" s="195">
        <f t="shared" si="6"/>
        <v>404906.16291999992</v>
      </c>
      <c r="BK71" s="195">
        <f t="shared" si="6"/>
        <v>2621220.3315065242</v>
      </c>
      <c r="BL71" s="195">
        <f t="shared" si="6"/>
        <v>3542541.3830400002</v>
      </c>
      <c r="BM71" s="195">
        <f t="shared" si="6"/>
        <v>0</v>
      </c>
      <c r="BN71" s="195">
        <f t="shared" si="6"/>
        <v>6510546.2978712199</v>
      </c>
      <c r="BO71" s="195">
        <f t="shared" si="6"/>
        <v>295139.38695999997</v>
      </c>
      <c r="BP71" s="195">
        <f t="shared" ref="BP71:CC71" si="7">SUM(BP61:BP69)-BP70</f>
        <v>1555366.5328800001</v>
      </c>
      <c r="BQ71" s="195">
        <f t="shared" si="7"/>
        <v>0</v>
      </c>
      <c r="BR71" s="195">
        <f t="shared" si="7"/>
        <v>994715.94715999987</v>
      </c>
      <c r="BS71" s="195">
        <f t="shared" si="7"/>
        <v>81550.92203999999</v>
      </c>
      <c r="BT71" s="195">
        <f t="shared" si="7"/>
        <v>139625.12723999997</v>
      </c>
      <c r="BU71" s="195">
        <f t="shared" si="7"/>
        <v>48639.972760000011</v>
      </c>
      <c r="BV71" s="195">
        <f t="shared" si="7"/>
        <v>3649972.7263086676</v>
      </c>
      <c r="BW71" s="195">
        <f t="shared" si="7"/>
        <v>716660.39091758011</v>
      </c>
      <c r="BX71" s="195">
        <f t="shared" si="7"/>
        <v>4316888.6693151034</v>
      </c>
      <c r="BY71" s="195">
        <f t="shared" si="7"/>
        <v>1962610.4277999999</v>
      </c>
      <c r="BZ71" s="195">
        <f t="shared" si="7"/>
        <v>0</v>
      </c>
      <c r="CA71" s="195">
        <f t="shared" si="7"/>
        <v>1237650.8704799998</v>
      </c>
      <c r="CB71" s="195">
        <f t="shared" si="7"/>
        <v>52220.447319999999</v>
      </c>
      <c r="CC71" s="195">
        <f t="shared" si="7"/>
        <v>16256744.639999999</v>
      </c>
      <c r="CD71" s="245">
        <f>CD69-CD70</f>
        <v>11238713</v>
      </c>
      <c r="CE71" s="195">
        <f>SUM(CE61:CE69)-CE70</f>
        <v>274425435.91708499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25635402.520000003</v>
      </c>
      <c r="D73" s="184">
        <v>0</v>
      </c>
      <c r="E73" s="184">
        <v>89284674.900000006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41874911.619999997</v>
      </c>
      <c r="P73" s="184">
        <v>177401440.08999997</v>
      </c>
      <c r="Q73" s="184">
        <v>9099090.5600000005</v>
      </c>
      <c r="R73" s="184">
        <v>0</v>
      </c>
      <c r="S73" s="184">
        <v>0</v>
      </c>
      <c r="T73" s="184">
        <v>4229901.669999999</v>
      </c>
      <c r="U73" s="184">
        <v>32642817.360000003</v>
      </c>
      <c r="V73" s="184">
        <v>0</v>
      </c>
      <c r="W73" s="184">
        <v>0</v>
      </c>
      <c r="X73" s="184">
        <v>28606149.220000003</v>
      </c>
      <c r="Y73" s="184">
        <v>22150882.43</v>
      </c>
      <c r="Z73" s="184">
        <v>0</v>
      </c>
      <c r="AA73" s="184">
        <v>1586287.26</v>
      </c>
      <c r="AB73" s="184">
        <v>83408053.750000015</v>
      </c>
      <c r="AC73" s="184">
        <v>18532030.5</v>
      </c>
      <c r="AD73" s="184">
        <v>1611531.06</v>
      </c>
      <c r="AE73" s="184">
        <v>2457207.96</v>
      </c>
      <c r="AF73" s="184">
        <v>0</v>
      </c>
      <c r="AG73" s="184">
        <v>37475837.920000002</v>
      </c>
      <c r="AH73" s="184">
        <v>0</v>
      </c>
      <c r="AI73" s="184">
        <v>0</v>
      </c>
      <c r="AJ73" s="184">
        <v>303523.09000000003</v>
      </c>
      <c r="AK73" s="184">
        <v>951853.71000000008</v>
      </c>
      <c r="AL73" s="184">
        <v>567960.26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265992.08999999997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578085547.97000015</v>
      </c>
      <c r="CF73" s="252"/>
    </row>
    <row r="74" spans="1:84" ht="12.6" customHeight="1" x14ac:dyDescent="0.2">
      <c r="A74" s="171" t="s">
        <v>246</v>
      </c>
      <c r="B74" s="175"/>
      <c r="C74" s="184">
        <v>86404.81</v>
      </c>
      <c r="D74" s="184">
        <v>0</v>
      </c>
      <c r="E74" s="184">
        <v>20018691.199999999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2533998.59</v>
      </c>
      <c r="P74" s="184">
        <v>256677603.30000001</v>
      </c>
      <c r="Q74" s="184">
        <v>16638871.629999999</v>
      </c>
      <c r="R74" s="184">
        <v>0</v>
      </c>
      <c r="S74" s="184">
        <v>0</v>
      </c>
      <c r="T74" s="184">
        <v>277204.24</v>
      </c>
      <c r="U74" s="184">
        <v>30768159.549999997</v>
      </c>
      <c r="V74" s="184">
        <v>0</v>
      </c>
      <c r="W74" s="184">
        <v>0</v>
      </c>
      <c r="X74" s="184">
        <v>84897225.090000004</v>
      </c>
      <c r="Y74" s="184">
        <v>58410994.760000005</v>
      </c>
      <c r="Z74" s="184">
        <v>0</v>
      </c>
      <c r="AA74" s="184">
        <v>10547340.24</v>
      </c>
      <c r="AB74" s="184">
        <v>61847296.830000006</v>
      </c>
      <c r="AC74" s="184">
        <v>7740709.1999999993</v>
      </c>
      <c r="AD74" s="184">
        <v>91442.430000000008</v>
      </c>
      <c r="AE74" s="184">
        <v>11393742.829999998</v>
      </c>
      <c r="AF74" s="184">
        <v>0</v>
      </c>
      <c r="AG74" s="184">
        <v>141087239.16999999</v>
      </c>
      <c r="AH74" s="184">
        <v>0</v>
      </c>
      <c r="AI74" s="184">
        <v>0</v>
      </c>
      <c r="AJ74" s="184">
        <v>124894630.42000002</v>
      </c>
      <c r="AK74" s="184">
        <v>1628290.9900000002</v>
      </c>
      <c r="AL74" s="184">
        <v>450410.52999999991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5184361.24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835174617.05000019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25721807.330000002</v>
      </c>
      <c r="D75" s="195">
        <f t="shared" si="9"/>
        <v>0</v>
      </c>
      <c r="E75" s="195">
        <f t="shared" si="9"/>
        <v>109303366.10000001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44408910.209999993</v>
      </c>
      <c r="P75" s="195">
        <f t="shared" si="9"/>
        <v>434079043.38999999</v>
      </c>
      <c r="Q75" s="195">
        <f t="shared" si="9"/>
        <v>25737962.189999998</v>
      </c>
      <c r="R75" s="195">
        <f t="shared" si="9"/>
        <v>0</v>
      </c>
      <c r="S75" s="195">
        <f t="shared" si="9"/>
        <v>0</v>
      </c>
      <c r="T75" s="195">
        <f t="shared" si="9"/>
        <v>4507105.9099999992</v>
      </c>
      <c r="U75" s="195">
        <f t="shared" si="9"/>
        <v>63410976.909999996</v>
      </c>
      <c r="V75" s="195">
        <f t="shared" si="9"/>
        <v>0</v>
      </c>
      <c r="W75" s="195">
        <f t="shared" si="9"/>
        <v>0</v>
      </c>
      <c r="X75" s="195">
        <f t="shared" si="9"/>
        <v>113503374.31</v>
      </c>
      <c r="Y75" s="195">
        <f t="shared" si="9"/>
        <v>80561877.189999998</v>
      </c>
      <c r="Z75" s="195">
        <f t="shared" si="9"/>
        <v>0</v>
      </c>
      <c r="AA75" s="195">
        <f t="shared" si="9"/>
        <v>12133627.5</v>
      </c>
      <c r="AB75" s="195">
        <f t="shared" si="9"/>
        <v>145255350.58000001</v>
      </c>
      <c r="AC75" s="195">
        <f t="shared" si="9"/>
        <v>26272739.699999999</v>
      </c>
      <c r="AD75" s="195">
        <f t="shared" si="9"/>
        <v>1702973.49</v>
      </c>
      <c r="AE75" s="195">
        <f t="shared" si="9"/>
        <v>13850950.789999999</v>
      </c>
      <c r="AF75" s="195">
        <f t="shared" si="9"/>
        <v>0</v>
      </c>
      <c r="AG75" s="195">
        <f t="shared" si="9"/>
        <v>178563077.08999997</v>
      </c>
      <c r="AH75" s="195">
        <f t="shared" si="9"/>
        <v>0</v>
      </c>
      <c r="AI75" s="195">
        <f t="shared" si="9"/>
        <v>0</v>
      </c>
      <c r="AJ75" s="195">
        <f t="shared" si="9"/>
        <v>125198153.51000002</v>
      </c>
      <c r="AK75" s="195">
        <f t="shared" si="9"/>
        <v>2580144.7000000002</v>
      </c>
      <c r="AL75" s="195">
        <f t="shared" si="9"/>
        <v>1018370.7899999999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5450353.3300000001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1413260165.0199997</v>
      </c>
      <c r="CF75" s="252"/>
    </row>
    <row r="76" spans="1:84" ht="12.6" customHeight="1" x14ac:dyDescent="0.2">
      <c r="A76" s="171" t="s">
        <v>248</v>
      </c>
      <c r="B76" s="175"/>
      <c r="C76" s="287">
        <v>11112</v>
      </c>
      <c r="D76" s="287">
        <v>0</v>
      </c>
      <c r="E76" s="287">
        <v>48910.54</v>
      </c>
      <c r="F76" s="287">
        <v>0</v>
      </c>
      <c r="G76" s="287">
        <v>0</v>
      </c>
      <c r="H76" s="287">
        <v>0</v>
      </c>
      <c r="I76" s="287">
        <v>0</v>
      </c>
      <c r="J76" s="287">
        <v>0</v>
      </c>
      <c r="K76" s="287">
        <v>0</v>
      </c>
      <c r="L76" s="287">
        <v>0</v>
      </c>
      <c r="M76" s="287">
        <v>0</v>
      </c>
      <c r="N76" s="287">
        <v>0</v>
      </c>
      <c r="O76" s="287">
        <f>1224+3030</f>
        <v>4254</v>
      </c>
      <c r="P76" s="287">
        <v>23570</v>
      </c>
      <c r="Q76" s="287">
        <v>1238</v>
      </c>
      <c r="R76" s="287">
        <v>0</v>
      </c>
      <c r="S76" s="287">
        <v>5572</v>
      </c>
      <c r="T76" s="287">
        <v>0</v>
      </c>
      <c r="U76" s="287">
        <v>6711</v>
      </c>
      <c r="V76" s="287">
        <v>0</v>
      </c>
      <c r="W76" s="287">
        <v>0</v>
      </c>
      <c r="X76" s="287">
        <v>787</v>
      </c>
      <c r="Y76" s="287">
        <v>24598</v>
      </c>
      <c r="Z76" s="287">
        <v>0</v>
      </c>
      <c r="AA76" s="287">
        <v>788</v>
      </c>
      <c r="AB76" s="287">
        <v>8305</v>
      </c>
      <c r="AC76" s="287">
        <v>1185</v>
      </c>
      <c r="AD76" s="287">
        <v>0</v>
      </c>
      <c r="AE76" s="287">
        <v>9857.14</v>
      </c>
      <c r="AF76" s="287">
        <v>0</v>
      </c>
      <c r="AG76" s="287">
        <v>10167</v>
      </c>
      <c r="AH76" s="287">
        <v>0</v>
      </c>
      <c r="AI76" s="287">
        <v>0</v>
      </c>
      <c r="AJ76" s="287">
        <v>0</v>
      </c>
      <c r="AK76" s="287">
        <v>3298</v>
      </c>
      <c r="AL76" s="287">
        <v>690</v>
      </c>
      <c r="AM76" s="287">
        <v>0</v>
      </c>
      <c r="AN76" s="287">
        <v>0</v>
      </c>
      <c r="AO76" s="287">
        <v>0</v>
      </c>
      <c r="AP76" s="287">
        <v>0</v>
      </c>
      <c r="AQ76" s="287">
        <v>0</v>
      </c>
      <c r="AR76" s="287">
        <v>0</v>
      </c>
      <c r="AS76" s="287">
        <v>0</v>
      </c>
      <c r="AT76" s="287">
        <v>0</v>
      </c>
      <c r="AU76" s="287">
        <v>0</v>
      </c>
      <c r="AV76" s="287">
        <v>803</v>
      </c>
      <c r="AW76" s="287">
        <v>0</v>
      </c>
      <c r="AX76" s="287">
        <v>0</v>
      </c>
      <c r="AY76" s="287">
        <v>0</v>
      </c>
      <c r="AZ76" s="287">
        <v>5708</v>
      </c>
      <c r="BA76" s="287">
        <v>2159</v>
      </c>
      <c r="BB76" s="287">
        <v>0</v>
      </c>
      <c r="BC76" s="287">
        <v>0</v>
      </c>
      <c r="BD76" s="287">
        <v>0</v>
      </c>
      <c r="BE76" s="287">
        <v>60387</v>
      </c>
      <c r="BF76" s="287">
        <v>625</v>
      </c>
      <c r="BG76" s="287">
        <v>0</v>
      </c>
      <c r="BH76" s="287">
        <v>0</v>
      </c>
      <c r="BI76" s="287">
        <v>484</v>
      </c>
      <c r="BJ76" s="287">
        <v>0</v>
      </c>
      <c r="BK76" s="287">
        <v>0</v>
      </c>
      <c r="BL76" s="287">
        <v>0</v>
      </c>
      <c r="BM76" s="287">
        <v>0</v>
      </c>
      <c r="BN76" s="287">
        <v>24023.99</v>
      </c>
      <c r="BO76" s="287">
        <v>0</v>
      </c>
      <c r="BP76" s="287">
        <v>0</v>
      </c>
      <c r="BQ76" s="287">
        <v>0</v>
      </c>
      <c r="BR76" s="287">
        <f>6091-6091</f>
        <v>0</v>
      </c>
      <c r="BS76" s="287">
        <v>0</v>
      </c>
      <c r="BT76" s="287">
        <v>0</v>
      </c>
      <c r="BU76" s="287">
        <v>0</v>
      </c>
      <c r="BV76" s="287">
        <v>2570</v>
      </c>
      <c r="BW76" s="287">
        <v>0</v>
      </c>
      <c r="BX76" s="287">
        <v>0</v>
      </c>
      <c r="BY76" s="287">
        <v>1482</v>
      </c>
      <c r="BZ76" s="287">
        <v>0</v>
      </c>
      <c r="CA76" s="287">
        <v>0</v>
      </c>
      <c r="CB76" s="287">
        <v>0</v>
      </c>
      <c r="CC76" s="287">
        <v>0</v>
      </c>
      <c r="CD76" s="249" t="s">
        <v>221</v>
      </c>
      <c r="CE76" s="195">
        <f t="shared" si="8"/>
        <v>259284.66999999998</v>
      </c>
      <c r="CF76" s="195">
        <f>BE59-CE76</f>
        <v>0.33000000001629815</v>
      </c>
    </row>
    <row r="77" spans="1:84" ht="12.6" customHeight="1" x14ac:dyDescent="0.2">
      <c r="A77" s="171" t="s">
        <v>249</v>
      </c>
      <c r="B77" s="175"/>
      <c r="C77" s="184">
        <v>6730</v>
      </c>
      <c r="D77" s="184"/>
      <c r="E77" s="184">
        <v>90262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>
        <v>6893</v>
      </c>
      <c r="P77" s="184">
        <v>25164</v>
      </c>
      <c r="Q77" s="184"/>
      <c r="R77" s="184"/>
      <c r="S77" s="184"/>
      <c r="T77" s="184"/>
      <c r="U77" s="184"/>
      <c r="V77" s="184"/>
      <c r="W77" s="184"/>
      <c r="X77" s="184"/>
      <c r="Y77" s="184">
        <v>20</v>
      </c>
      <c r="Z77" s="184"/>
      <c r="AA77" s="184"/>
      <c r="AB77" s="184"/>
      <c r="AC77" s="184"/>
      <c r="AD77" s="184"/>
      <c r="AE77" s="184"/>
      <c r="AF77" s="184"/>
      <c r="AG77" s="184">
        <v>7487</v>
      </c>
      <c r="AH77" s="184"/>
      <c r="AI77" s="184"/>
      <c r="AJ77" s="184">
        <v>14</v>
      </c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>
        <v>21576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158146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4474</v>
      </c>
      <c r="D78" s="184"/>
      <c r="E78" s="184">
        <v>19694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1713</v>
      </c>
      <c r="P78" s="184">
        <v>8914</v>
      </c>
      <c r="Q78" s="184">
        <v>498</v>
      </c>
      <c r="R78" s="184"/>
      <c r="S78" s="184">
        <v>2244</v>
      </c>
      <c r="T78" s="184"/>
      <c r="U78" s="184">
        <v>2702</v>
      </c>
      <c r="V78" s="184"/>
      <c r="W78" s="184"/>
      <c r="X78" s="184">
        <v>317</v>
      </c>
      <c r="Y78" s="184">
        <v>9904</v>
      </c>
      <c r="Z78" s="184"/>
      <c r="AA78" s="184">
        <v>317</v>
      </c>
      <c r="AB78" s="184">
        <v>3600</v>
      </c>
      <c r="AC78" s="184">
        <v>477</v>
      </c>
      <c r="AD78" s="184"/>
      <c r="AE78" s="184">
        <v>3969</v>
      </c>
      <c r="AF78" s="184"/>
      <c r="AG78" s="184">
        <v>4094</v>
      </c>
      <c r="AH78" s="184"/>
      <c r="AI78" s="184"/>
      <c r="AJ78" s="184"/>
      <c r="AK78" s="184">
        <v>1328</v>
      </c>
      <c r="AL78" s="184">
        <v>278</v>
      </c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869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>
        <v>195</v>
      </c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1035</v>
      </c>
      <c r="BW78" s="184"/>
      <c r="BX78" s="184"/>
      <c r="BY78" s="184">
        <v>597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67219</v>
      </c>
      <c r="CF78" s="195"/>
    </row>
    <row r="79" spans="1:84" ht="12.6" customHeight="1" x14ac:dyDescent="0.2">
      <c r="A79" s="171" t="s">
        <v>251</v>
      </c>
      <c r="B79" s="175"/>
      <c r="C79" s="225"/>
      <c r="D79" s="225"/>
      <c r="E79" s="184">
        <v>287561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122284</v>
      </c>
      <c r="P79" s="184">
        <v>304075</v>
      </c>
      <c r="Q79" s="184">
        <v>8395</v>
      </c>
      <c r="R79" s="184"/>
      <c r="S79" s="184"/>
      <c r="T79" s="184"/>
      <c r="U79" s="184"/>
      <c r="V79" s="184"/>
      <c r="W79" s="184"/>
      <c r="X79" s="184"/>
      <c r="Y79" s="184">
        <v>57738</v>
      </c>
      <c r="Z79" s="184"/>
      <c r="AA79" s="184"/>
      <c r="AB79" s="184"/>
      <c r="AC79" s="184"/>
      <c r="AD79" s="184"/>
      <c r="AE79" s="184"/>
      <c r="AF79" s="184"/>
      <c r="AG79" s="184">
        <v>288111</v>
      </c>
      <c r="AH79" s="184"/>
      <c r="AI79" s="184"/>
      <c r="AJ79" s="184"/>
      <c r="AK79" s="184">
        <v>15420</v>
      </c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10720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1094304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33.18</v>
      </c>
      <c r="D80" s="187"/>
      <c r="E80" s="187">
        <v>115.54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36.35</v>
      </c>
      <c r="P80" s="187">
        <v>45.25</v>
      </c>
      <c r="Q80" s="187">
        <v>20.010000000000002</v>
      </c>
      <c r="R80" s="187"/>
      <c r="S80" s="187"/>
      <c r="T80" s="187">
        <v>2.0699999999999998</v>
      </c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51.45</v>
      </c>
      <c r="AH80" s="187"/>
      <c r="AI80" s="187"/>
      <c r="AJ80" s="187">
        <f>4.02+37.86</f>
        <v>41.879999999999995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0.23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345.96</v>
      </c>
      <c r="CF80" s="255">
        <f>334.33-4.93-4.63-16.66-0.01+37.86</f>
        <v>345.96</v>
      </c>
    </row>
    <row r="81" spans="1:84" ht="12.6" customHeight="1" x14ac:dyDescent="0.2">
      <c r="A81" s="208" t="s">
        <v>253</v>
      </c>
      <c r="B81" s="208"/>
      <c r="C81" s="208"/>
      <c r="D81" s="208"/>
      <c r="E81" s="208"/>
    </row>
    <row r="82" spans="1:84" ht="12.6" customHeight="1" x14ac:dyDescent="0.2">
      <c r="A82" s="171" t="s">
        <v>254</v>
      </c>
      <c r="B82" s="172"/>
      <c r="C82" s="282" t="s">
        <v>1266</v>
      </c>
      <c r="D82" s="256"/>
      <c r="E82" s="175"/>
      <c r="CF82" s="289"/>
    </row>
    <row r="83" spans="1:84" ht="12.6" customHeight="1" x14ac:dyDescent="0.2">
      <c r="A83" s="173" t="s">
        <v>255</v>
      </c>
      <c r="B83" s="172" t="s">
        <v>256</v>
      </c>
      <c r="C83" s="227" t="s">
        <v>1272</v>
      </c>
      <c r="D83" s="256"/>
      <c r="E83" s="175"/>
    </row>
    <row r="84" spans="1:84" ht="12.6" customHeight="1" x14ac:dyDescent="0.2">
      <c r="A84" s="173" t="s">
        <v>257</v>
      </c>
      <c r="B84" s="172" t="s">
        <v>256</v>
      </c>
      <c r="C84" s="230" t="s">
        <v>1273</v>
      </c>
      <c r="D84" s="205"/>
      <c r="E84" s="204"/>
    </row>
    <row r="85" spans="1:84" ht="12.6" customHeight="1" x14ac:dyDescent="0.2">
      <c r="A85" s="173" t="s">
        <v>1251</v>
      </c>
      <c r="B85" s="172"/>
      <c r="C85" s="271" t="s">
        <v>1274</v>
      </c>
      <c r="D85" s="205"/>
      <c r="E85" s="204"/>
    </row>
    <row r="86" spans="1:84" ht="12.6" customHeight="1" x14ac:dyDescent="0.2">
      <c r="A86" s="173" t="s">
        <v>1252</v>
      </c>
      <c r="B86" s="172" t="s">
        <v>256</v>
      </c>
      <c r="C86" s="231" t="s">
        <v>1274</v>
      </c>
      <c r="D86" s="205"/>
      <c r="E86" s="204"/>
    </row>
    <row r="87" spans="1:84" ht="12.6" customHeight="1" x14ac:dyDescent="0.2">
      <c r="A87" s="173" t="s">
        <v>258</v>
      </c>
      <c r="B87" s="172" t="s">
        <v>256</v>
      </c>
      <c r="C87" s="230" t="s">
        <v>1275</v>
      </c>
      <c r="D87" s="205"/>
      <c r="E87" s="204"/>
    </row>
    <row r="88" spans="1:84" ht="12.6" customHeight="1" x14ac:dyDescent="0.2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84" ht="12.6" customHeight="1" x14ac:dyDescent="0.2">
      <c r="A89" s="173" t="s">
        <v>260</v>
      </c>
      <c r="B89" s="172" t="s">
        <v>256</v>
      </c>
      <c r="C89" s="230" t="s">
        <v>1269</v>
      </c>
      <c r="D89" s="205"/>
      <c r="E89" s="204"/>
    </row>
    <row r="90" spans="1:84" ht="12.6" customHeight="1" x14ac:dyDescent="0.2">
      <c r="A90" s="173" t="s">
        <v>261</v>
      </c>
      <c r="B90" s="172" t="s">
        <v>256</v>
      </c>
      <c r="C90" s="230" t="s">
        <v>1270</v>
      </c>
      <c r="D90" s="205"/>
      <c r="E90" s="204"/>
    </row>
    <row r="91" spans="1:84" ht="12.6" customHeight="1" x14ac:dyDescent="0.2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84" ht="12.6" customHeight="1" x14ac:dyDescent="0.2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84" ht="12.6" customHeight="1" x14ac:dyDescent="0.2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84" ht="12.6" customHeight="1" x14ac:dyDescent="0.2">
      <c r="A94" s="173"/>
      <c r="B94" s="173"/>
      <c r="C94" s="191"/>
      <c r="D94" s="175"/>
      <c r="E94" s="175"/>
    </row>
    <row r="95" spans="1:84" ht="12.6" customHeight="1" x14ac:dyDescent="0.2">
      <c r="A95" s="208" t="s">
        <v>265</v>
      </c>
      <c r="B95" s="208"/>
      <c r="C95" s="208"/>
      <c r="D95" s="208"/>
      <c r="E95" s="208"/>
    </row>
    <row r="96" spans="1:84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7805</v>
      </c>
      <c r="D111" s="174">
        <v>32492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1288</v>
      </c>
      <c r="D114" s="174">
        <v>2112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14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>
        <v>16</v>
      </c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72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16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>
        <v>6</v>
      </c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124</v>
      </c>
    </row>
    <row r="128" spans="1:5" ht="12.6" customHeight="1" x14ac:dyDescent="0.2">
      <c r="A128" s="173" t="s">
        <v>292</v>
      </c>
      <c r="B128" s="172" t="s">
        <v>256</v>
      </c>
      <c r="C128" s="189">
        <v>124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18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f>2271+1248</f>
        <v>3519</v>
      </c>
      <c r="C138" s="189">
        <f>303+1700+9</f>
        <v>2012</v>
      </c>
      <c r="D138" s="174">
        <f>-5531+7805</f>
        <v>2274</v>
      </c>
      <c r="E138" s="175">
        <f>SUM(B138:D138)</f>
        <v>7805</v>
      </c>
    </row>
    <row r="139" spans="1:6" ht="12.6" customHeight="1" x14ac:dyDescent="0.2">
      <c r="A139" s="173" t="s">
        <v>215</v>
      </c>
      <c r="B139" s="174">
        <f>11705+6479</f>
        <v>18184</v>
      </c>
      <c r="C139" s="189">
        <f>985+6672+30</f>
        <v>7687</v>
      </c>
      <c r="D139" s="174">
        <f>-25871+32492</f>
        <v>6621</v>
      </c>
      <c r="E139" s="175">
        <f>SUM(B139:D139)</f>
        <v>32492</v>
      </c>
    </row>
    <row r="140" spans="1:6" ht="12.6" customHeight="1" x14ac:dyDescent="0.2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">
      <c r="A141" s="173" t="s">
        <v>245</v>
      </c>
      <c r="B141" s="174">
        <v>269845161</v>
      </c>
      <c r="C141" s="189">
        <v>123747572</v>
      </c>
      <c r="D141" s="174">
        <f>-393592733+578085548</f>
        <v>184492815</v>
      </c>
      <c r="E141" s="175">
        <f>SUM(B141:D141)</f>
        <v>578085548</v>
      </c>
      <c r="F141" s="199"/>
    </row>
    <row r="142" spans="1:6" ht="12.6" customHeight="1" x14ac:dyDescent="0.2">
      <c r="A142" s="173" t="s">
        <v>246</v>
      </c>
      <c r="B142" s="174">
        <f>265371830+776867+31295045</f>
        <v>297443742</v>
      </c>
      <c r="C142" s="189">
        <f>173795621+558059+20259758</f>
        <v>194613438</v>
      </c>
      <c r="D142" s="174">
        <f>-492057180+742965964+2250984+89957669</f>
        <v>343117437</v>
      </c>
      <c r="E142" s="175">
        <f>SUM(B142:D142)</f>
        <v>835174617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7088509.2199999997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f>21628.86+31399</f>
        <v>53027.86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f>578318.28-2673.58+75149</f>
        <v>650793.70000000007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f>9530121.57-1325440.17+33.13+590023.07-222335.95+1.13+88080.51-88029.16+206029.53+2906588</f>
        <v>11685071.66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f>176111.33-128229.15+36360</f>
        <v>84242.18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f>1945288.94+1537435.94+1490157</f>
        <v>4972881.88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f>162277.3+370462</f>
        <v>532739.30000000005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>
        <f>-25067265+25266238</f>
        <v>198973</v>
      </c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25266238.800000001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f>3385264.71+1659064.93+479622.53</f>
        <v>5523952.1699999999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f>627733.6+288971.63</f>
        <v>916705.23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6440657.4000000004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f>2224685.46+718096.68</f>
        <v>2942782.14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f>-2942782+3079635</f>
        <v>136853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3079635.14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101055.27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288">
        <f>8567317.86</f>
        <v>8567317.8599999994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8668373.129999999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/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78330.38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78330.38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7206096.9900000002</v>
      </c>
      <c r="C195" s="189"/>
      <c r="D195" s="174"/>
      <c r="E195" s="175">
        <f t="shared" ref="E195:E203" si="10">SUM(B195:C195)-D195</f>
        <v>7206096.9900000002</v>
      </c>
    </row>
    <row r="196" spans="1:8" ht="12.6" customHeight="1" x14ac:dyDescent="0.2">
      <c r="A196" s="173" t="s">
        <v>333</v>
      </c>
      <c r="B196" s="174">
        <v>2932921.47</v>
      </c>
      <c r="C196" s="189"/>
      <c r="D196" s="174"/>
      <c r="E196" s="175">
        <f t="shared" si="10"/>
        <v>2932921.47</v>
      </c>
    </row>
    <row r="197" spans="1:8" ht="12.6" customHeight="1" x14ac:dyDescent="0.2">
      <c r="A197" s="173" t="s">
        <v>334</v>
      </c>
      <c r="B197" s="174">
        <f>61667989.97+38751</f>
        <v>61706740.969999999</v>
      </c>
      <c r="C197" s="189">
        <f>157242.25+708363.59+113740.61+251366</f>
        <v>1230712.45</v>
      </c>
      <c r="D197" s="174">
        <v>509271</v>
      </c>
      <c r="E197" s="175">
        <f t="shared" si="10"/>
        <v>62428182.420000002</v>
      </c>
    </row>
    <row r="198" spans="1:8" ht="12.6" customHeight="1" x14ac:dyDescent="0.2">
      <c r="A198" s="173" t="s">
        <v>335</v>
      </c>
      <c r="B198" s="174">
        <v>0</v>
      </c>
      <c r="C198" s="288">
        <f>2983979.72+7196.28</f>
        <v>2991176</v>
      </c>
      <c r="D198" s="174"/>
      <c r="E198" s="175">
        <f t="shared" si="10"/>
        <v>2991176</v>
      </c>
    </row>
    <row r="199" spans="1:8" ht="12.6" customHeight="1" x14ac:dyDescent="0.2">
      <c r="A199" s="173" t="s">
        <v>336</v>
      </c>
      <c r="B199" s="174">
        <f>18484023.71+190117</f>
        <v>18674140.710000001</v>
      </c>
      <c r="C199" s="189">
        <f>16985</f>
        <v>16985</v>
      </c>
      <c r="D199" s="174"/>
      <c r="E199" s="175">
        <f t="shared" si="10"/>
        <v>18691125.710000001</v>
      </c>
    </row>
    <row r="200" spans="1:8" ht="12.6" customHeight="1" x14ac:dyDescent="0.2">
      <c r="A200" s="173" t="s">
        <v>337</v>
      </c>
      <c r="B200" s="174">
        <f>100516066.26+9543076</f>
        <v>110059142.26000001</v>
      </c>
      <c r="C200" s="189">
        <f>2073817.28+1807540.88+438139</f>
        <v>4319497.16</v>
      </c>
      <c r="D200" s="174">
        <f>253304+39196</f>
        <v>292500</v>
      </c>
      <c r="E200" s="175">
        <f t="shared" si="10"/>
        <v>114086139.42</v>
      </c>
    </row>
    <row r="201" spans="1:8" ht="12.6" customHeight="1" x14ac:dyDescent="0.2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">
      <c r="A202" s="173" t="s">
        <v>339</v>
      </c>
      <c r="B202" s="174">
        <f>9637273.8+4765456</f>
        <v>14402729.800000001</v>
      </c>
      <c r="C202" s="189">
        <f>-206303.11+617218</f>
        <v>410914.89</v>
      </c>
      <c r="D202" s="174">
        <f>7624</f>
        <v>7624</v>
      </c>
      <c r="E202" s="175">
        <f t="shared" si="10"/>
        <v>14806020.690000001</v>
      </c>
    </row>
    <row r="203" spans="1:8" ht="12.6" customHeight="1" x14ac:dyDescent="0.2">
      <c r="A203" s="173" t="s">
        <v>340</v>
      </c>
      <c r="B203" s="174">
        <f>5738333.77+842814+59679</f>
        <v>6640826.7699999996</v>
      </c>
      <c r="C203" s="189">
        <f>3069659.5-6656024.92-784950-37850</f>
        <v>-4409165.42</v>
      </c>
      <c r="D203" s="174"/>
      <c r="E203" s="175">
        <f t="shared" si="10"/>
        <v>2231661.3499999996</v>
      </c>
    </row>
    <row r="204" spans="1:8" ht="12.6" customHeight="1" x14ac:dyDescent="0.2">
      <c r="A204" s="173" t="s">
        <v>203</v>
      </c>
      <c r="B204" s="175">
        <f>SUM(B195:B203)</f>
        <v>221622598.97000006</v>
      </c>
      <c r="C204" s="191">
        <f>SUM(C195:C203)</f>
        <v>4560120.08</v>
      </c>
      <c r="D204" s="175">
        <f>SUM(D195:D203)</f>
        <v>809395</v>
      </c>
      <c r="E204" s="175">
        <f>SUM(E195:E203)</f>
        <v>225373324.04999998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2042640.6800000002</v>
      </c>
      <c r="C209" s="189">
        <v>111264.92</v>
      </c>
      <c r="D209" s="174"/>
      <c r="E209" s="175">
        <f t="shared" ref="E209:E216" si="11">SUM(B209:C209)-D209</f>
        <v>2153905.6</v>
      </c>
      <c r="H209" s="259"/>
    </row>
    <row r="210" spans="1:8" ht="12.6" customHeight="1" x14ac:dyDescent="0.2">
      <c r="A210" s="173" t="s">
        <v>334</v>
      </c>
      <c r="B210" s="174">
        <f>19249705.42+6296</f>
        <v>19256001.420000002</v>
      </c>
      <c r="C210" s="189">
        <f>1666395.21+567491.36+28908</f>
        <v>2262794.5699999998</v>
      </c>
      <c r="D210" s="174">
        <v>9259.48</v>
      </c>
      <c r="E210" s="175">
        <f t="shared" si="11"/>
        <v>21509536.510000002</v>
      </c>
      <c r="H210" s="259"/>
    </row>
    <row r="211" spans="1:8" ht="12.6" customHeight="1" x14ac:dyDescent="0.2">
      <c r="A211" s="173" t="s">
        <v>335</v>
      </c>
      <c r="B211" s="174">
        <v>0</v>
      </c>
      <c r="C211" s="189"/>
      <c r="D211" s="174"/>
      <c r="E211" s="175">
        <f t="shared" si="11"/>
        <v>0</v>
      </c>
      <c r="H211" s="259"/>
    </row>
    <row r="212" spans="1:8" ht="12.6" customHeight="1" x14ac:dyDescent="0.2">
      <c r="A212" s="173" t="s">
        <v>336</v>
      </c>
      <c r="B212" s="174">
        <f>15698319.28+108262</f>
        <v>15806581.279999999</v>
      </c>
      <c r="C212" s="189">
        <f>552020.87+19976</f>
        <v>571996.87</v>
      </c>
      <c r="D212" s="174"/>
      <c r="E212" s="175">
        <f t="shared" si="11"/>
        <v>16378578.149999999</v>
      </c>
      <c r="H212" s="259"/>
    </row>
    <row r="213" spans="1:8" ht="12.6" customHeight="1" x14ac:dyDescent="0.2">
      <c r="A213" s="173" t="s">
        <v>337</v>
      </c>
      <c r="B213" s="174">
        <f>68890740.72+5429058</f>
        <v>74319798.719999999</v>
      </c>
      <c r="C213" s="189">
        <f>8313283+178843.32+181265+959008-78021</f>
        <v>9554378.3200000003</v>
      </c>
      <c r="D213" s="174">
        <f>37171-78021</f>
        <v>-40850</v>
      </c>
      <c r="E213" s="175">
        <f t="shared" si="11"/>
        <v>83915027.039999992</v>
      </c>
      <c r="H213" s="259"/>
    </row>
    <row r="214" spans="1:8" ht="12.6" customHeight="1" x14ac:dyDescent="0.2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f>5086083.58+2381637</f>
        <v>7467720.5800000001</v>
      </c>
      <c r="C215" s="189">
        <f>843631.43-108826.33+536148</f>
        <v>1270953.1000000001</v>
      </c>
      <c r="D215" s="174"/>
      <c r="E215" s="175">
        <f t="shared" si="11"/>
        <v>8738673.6799999997</v>
      </c>
      <c r="H215" s="259"/>
    </row>
    <row r="216" spans="1:8" ht="12.6" customHeight="1" x14ac:dyDescent="0.2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118892742.67999999</v>
      </c>
      <c r="C217" s="191">
        <f>SUM(C208:C216)</f>
        <v>13771387.779999999</v>
      </c>
      <c r="D217" s="175">
        <f>SUM(D208:D216)</f>
        <v>-31590.52</v>
      </c>
      <c r="E217" s="175">
        <f>SUM(E208:E216)</f>
        <v>132695720.97999999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91" t="s">
        <v>1255</v>
      </c>
      <c r="C220" s="291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13143306.140000001</v>
      </c>
      <c r="D221" s="172">
        <f>C221</f>
        <v>13143306.140000001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f>225682238.02-191052+42092.42-138743.14+232809388.22+472330.16+20145295.3</f>
        <v>478821548.98000002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288">
        <f>106417500.63+28553.37-3568443.77-4176539.72+161286454.58+412375.56+14603055.88</f>
        <v>275002956.53000003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f>12421860.96-43023.19+23514730.6+23728.82+1486468.25</f>
        <v>37403765.440000005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f>3607828.67+21999594.34+70596214.71+10709342.67+38889513.59+112692619.56+15048.28+61293.75+237827.54+724083.39+2605482.55+10368991.98-398175.26</f>
        <v>272109665.77000004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288"/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1063337936.72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7927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3895739.03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f>14625898.79+627199.04</f>
        <v>15253097.829999998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19148836.859999999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288">
        <f>6336448.58+11463754.59+33.39+24678.54-17880.04+1233745.11</f>
        <v>19040780.170000002</v>
      </c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19040780.170000002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1114670859.8900001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f>392117+1285958</f>
        <v>1678075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f>160934755+12577949</f>
        <v>173512704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f>116284366+12158473+7828166</f>
        <v>136271005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f>1531561+301710</f>
        <v>1833271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f>5614889+258722</f>
        <v>5873611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f>206809+278407</f>
        <v>485216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/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47111872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7206096.9900000002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2932921.47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f>55434843.79+6703221.26+38751+251366</f>
        <v>62428182.049999997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>
        <v>2991176</v>
      </c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f>-2991176+21475200.43+190117+16985</f>
        <v>18691126.43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f>104144120.42+9543076+438139-39196</f>
        <v>114086139.42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f>9430970.6+4765456+617218-7624</f>
        <v>14806020.6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f>113145.2+2038822.63+842814+59679-784950-37850</f>
        <v>2231660.83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225373323.79000002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f>123226428.06+9469293</f>
        <v>132695721.06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92677602.730000019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>
        <v>41319392</v>
      </c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f>3888890+10005</f>
        <v>3898895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45218287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>
        <f>8853408+1699912</f>
        <v>10553320</v>
      </c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8" ht="12.6" customHeight="1" x14ac:dyDescent="0.2">
      <c r="A289" s="173" t="s">
        <v>391</v>
      </c>
      <c r="B289" s="172" t="s">
        <v>256</v>
      </c>
      <c r="C289" s="189">
        <f>4172060-187692.84+155704</f>
        <v>4140071.16</v>
      </c>
      <c r="D289" s="175"/>
      <c r="E289" s="175"/>
    </row>
    <row r="290" spans="1:8" ht="12.6" customHeight="1" x14ac:dyDescent="0.2">
      <c r="A290" s="173" t="s">
        <v>392</v>
      </c>
      <c r="B290" s="175"/>
      <c r="C290" s="191"/>
      <c r="D290" s="175">
        <f>SUM(C286:C289)</f>
        <v>14693391.16</v>
      </c>
      <c r="E290" s="175"/>
    </row>
    <row r="291" spans="1:8" ht="12.6" customHeight="1" x14ac:dyDescent="0.2">
      <c r="A291" s="173"/>
      <c r="B291" s="175"/>
      <c r="C291" s="191"/>
      <c r="D291" s="175"/>
      <c r="E291" s="175"/>
    </row>
    <row r="292" spans="1:8" ht="12.6" customHeight="1" x14ac:dyDescent="0.2">
      <c r="A292" s="173" t="s">
        <v>393</v>
      </c>
      <c r="B292" s="175"/>
      <c r="C292" s="191"/>
      <c r="D292" s="175">
        <f>D260+D265+D277+D283+D290</f>
        <v>199701152.89000002</v>
      </c>
      <c r="E292" s="175"/>
      <c r="F292" s="234"/>
      <c r="G292" s="234"/>
      <c r="H292" s="234"/>
    </row>
    <row r="293" spans="1:8" ht="12.6" customHeight="1" x14ac:dyDescent="0.2">
      <c r="A293" s="173"/>
      <c r="B293" s="173"/>
      <c r="C293" s="191"/>
      <c r="D293" s="175"/>
      <c r="E293" s="175"/>
    </row>
    <row r="294" spans="1:8" ht="12.6" customHeight="1" x14ac:dyDescent="0.2">
      <c r="A294" s="173"/>
      <c r="B294" s="173"/>
      <c r="C294" s="191"/>
      <c r="D294" s="175"/>
      <c r="E294" s="175"/>
    </row>
    <row r="295" spans="1:8" ht="12.6" customHeight="1" x14ac:dyDescent="0.2">
      <c r="A295" s="173"/>
      <c r="B295" s="173"/>
      <c r="C295" s="191"/>
      <c r="D295" s="175"/>
      <c r="E295" s="175"/>
    </row>
    <row r="296" spans="1:8" ht="12.6" customHeight="1" x14ac:dyDescent="0.2">
      <c r="A296" s="173"/>
      <c r="B296" s="173"/>
      <c r="C296" s="191"/>
      <c r="D296" s="175"/>
      <c r="E296" s="175"/>
    </row>
    <row r="297" spans="1:8" ht="12.6" customHeight="1" x14ac:dyDescent="0.2">
      <c r="A297" s="173"/>
      <c r="B297" s="173"/>
      <c r="C297" s="191"/>
      <c r="D297" s="175"/>
      <c r="E297" s="175"/>
    </row>
    <row r="298" spans="1:8" ht="12.6" customHeight="1" x14ac:dyDescent="0.2">
      <c r="A298" s="173"/>
      <c r="B298" s="173"/>
      <c r="C298" s="191"/>
      <c r="D298" s="175"/>
      <c r="E298" s="175"/>
    </row>
    <row r="299" spans="1:8" ht="12.6" customHeight="1" x14ac:dyDescent="0.2">
      <c r="A299" s="173"/>
      <c r="B299" s="173"/>
      <c r="C299" s="191"/>
      <c r="D299" s="175"/>
      <c r="E299" s="175"/>
    </row>
    <row r="300" spans="1:8" ht="12.6" customHeight="1" x14ac:dyDescent="0.2">
      <c r="A300" s="173"/>
      <c r="B300" s="173"/>
      <c r="C300" s="191"/>
      <c r="D300" s="175"/>
      <c r="E300" s="175"/>
    </row>
    <row r="301" spans="1:8" ht="20.25" customHeight="1" x14ac:dyDescent="0.2">
      <c r="A301" s="173"/>
      <c r="B301" s="173"/>
      <c r="C301" s="191"/>
      <c r="D301" s="175"/>
      <c r="E301" s="175"/>
    </row>
    <row r="302" spans="1:8" ht="12.6" customHeight="1" x14ac:dyDescent="0.2">
      <c r="A302" s="208" t="s">
        <v>394</v>
      </c>
      <c r="B302" s="208"/>
      <c r="C302" s="208"/>
      <c r="D302" s="208"/>
      <c r="E302" s="208"/>
    </row>
    <row r="303" spans="1:8" ht="14.25" customHeight="1" x14ac:dyDescent="0.2">
      <c r="A303" s="257" t="s">
        <v>395</v>
      </c>
      <c r="B303" s="257"/>
      <c r="C303" s="257"/>
      <c r="D303" s="257"/>
      <c r="E303" s="257"/>
    </row>
    <row r="304" spans="1:8" ht="12.6" customHeight="1" x14ac:dyDescent="0.2">
      <c r="A304" s="173" t="s">
        <v>396</v>
      </c>
      <c r="B304" s="172" t="s">
        <v>256</v>
      </c>
      <c r="C304" s="288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288">
        <f>204496+1586135</f>
        <v>1790631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288">
        <f>7719871+2630060</f>
        <v>10349931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288">
        <f>2287832+4989726+60509+3142254+3115008</f>
        <v>13595329</v>
      </c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>
        <v>1719389</v>
      </c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>
        <f>974531+334814</f>
        <v>1309345</v>
      </c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28764625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288">
        <f>2393959+1128280</f>
        <v>3522239</v>
      </c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3522239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f>142658+384311</f>
        <v>526969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288">
        <f>1166687+2108210</f>
        <v>3274897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288"/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288"/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288"/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3801866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1309345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2492521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f>158996789+5924979</f>
        <v>164921768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199701153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199701152.89000002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578085548.32000005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f>742965964.41+2250984.16+89957668.79</f>
        <v>835174617.3599999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SUM(C359:C360)-1</f>
        <v>1413260164.6799998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13143306.140000001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f>1082378716.89-C366</f>
        <v>1063337936.7200001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19148836.859999999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288">
        <f>+C238</f>
        <v>19040780.170000002</v>
      </c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1114670859.8900001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298589304.78999972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f>5247625.32+1523.75+536522.48</f>
        <v>5785671.5500000007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5785671.5500000007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304374976.33999974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f>107907020.9+2271080.83</f>
        <v>110178101.73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25266238.23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10887903.35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37188888.200000003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1392543.71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58586439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13771388.48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6440657.4000000004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3079635.33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f>101055.27+8567317.86</f>
        <v>8668373.129999999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78330.38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f>-275538499+280211115</f>
        <v>4672616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SUM(C378:C389)-1</f>
        <v>280211113.94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24163862.399999738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732858.68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24896721.079999737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24896721.079999737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St. Francis Hospital   H-0     FYE 06/30/2019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7805</v>
      </c>
      <c r="C414" s="194">
        <f>E138</f>
        <v>7805</v>
      </c>
      <c r="D414" s="179"/>
    </row>
    <row r="415" spans="1:5" ht="12.6" customHeight="1" x14ac:dyDescent="0.2">
      <c r="A415" s="179" t="s">
        <v>464</v>
      </c>
      <c r="B415" s="179">
        <f>D111</f>
        <v>32492</v>
      </c>
      <c r="C415" s="179">
        <f>E139</f>
        <v>32492</v>
      </c>
      <c r="D415" s="194">
        <f>SUM(C59:H59)+N59</f>
        <v>32492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1288</v>
      </c>
    </row>
    <row r="424" spans="1:7" ht="12.6" customHeight="1" x14ac:dyDescent="0.2">
      <c r="A424" s="179" t="s">
        <v>1244</v>
      </c>
      <c r="B424" s="179">
        <f>D114</f>
        <v>2112</v>
      </c>
      <c r="D424" s="179">
        <f>J59</f>
        <v>2112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110178101.73</v>
      </c>
      <c r="C427" s="179">
        <f t="shared" ref="C427:C434" si="13">CE61</f>
        <v>110178102.10999997</v>
      </c>
      <c r="D427" s="179"/>
    </row>
    <row r="428" spans="1:7" ht="12.6" customHeight="1" x14ac:dyDescent="0.2">
      <c r="A428" s="179" t="s">
        <v>3</v>
      </c>
      <c r="B428" s="179">
        <f t="shared" si="12"/>
        <v>25266238.23</v>
      </c>
      <c r="C428" s="194">
        <f t="shared" si="13"/>
        <v>25266238</v>
      </c>
      <c r="D428" s="179">
        <f>D173</f>
        <v>25266238.800000001</v>
      </c>
    </row>
    <row r="429" spans="1:7" ht="12.6" customHeight="1" x14ac:dyDescent="0.2">
      <c r="A429" s="179" t="s">
        <v>236</v>
      </c>
      <c r="B429" s="179">
        <f t="shared" si="12"/>
        <v>10887903.35</v>
      </c>
      <c r="C429" s="179">
        <f t="shared" si="13"/>
        <v>10887902.93</v>
      </c>
      <c r="D429" s="179"/>
    </row>
    <row r="430" spans="1:7" ht="12.6" customHeight="1" x14ac:dyDescent="0.2">
      <c r="A430" s="179" t="s">
        <v>237</v>
      </c>
      <c r="B430" s="179">
        <f t="shared" si="12"/>
        <v>37188888.200000003</v>
      </c>
      <c r="C430" s="179">
        <f t="shared" si="13"/>
        <v>37188888.140000008</v>
      </c>
      <c r="D430" s="179"/>
    </row>
    <row r="431" spans="1:7" ht="12.6" customHeight="1" x14ac:dyDescent="0.2">
      <c r="A431" s="179" t="s">
        <v>444</v>
      </c>
      <c r="B431" s="179">
        <f t="shared" si="12"/>
        <v>1392543.71</v>
      </c>
      <c r="C431" s="179">
        <f t="shared" si="13"/>
        <v>1392543.71</v>
      </c>
      <c r="D431" s="179"/>
    </row>
    <row r="432" spans="1:7" ht="12.6" customHeight="1" x14ac:dyDescent="0.2">
      <c r="A432" s="179" t="s">
        <v>445</v>
      </c>
      <c r="B432" s="194">
        <f t="shared" si="12"/>
        <v>58586439</v>
      </c>
      <c r="C432" s="194">
        <f t="shared" si="13"/>
        <v>58586438.527085043</v>
      </c>
      <c r="D432" s="179"/>
    </row>
    <row r="433" spans="1:7" ht="12.6" customHeight="1" x14ac:dyDescent="0.2">
      <c r="A433" s="179" t="s">
        <v>6</v>
      </c>
      <c r="B433" s="194">
        <f t="shared" si="12"/>
        <v>13771388.48</v>
      </c>
      <c r="C433" s="194">
        <f t="shared" si="13"/>
        <v>13771382</v>
      </c>
      <c r="D433" s="194">
        <f>C217</f>
        <v>13771387.779999999</v>
      </c>
    </row>
    <row r="434" spans="1:7" ht="12.6" customHeight="1" x14ac:dyDescent="0.2">
      <c r="A434" s="179" t="s">
        <v>474</v>
      </c>
      <c r="B434" s="179">
        <f t="shared" si="12"/>
        <v>6440657.4000000004</v>
      </c>
      <c r="C434" s="179">
        <f t="shared" si="13"/>
        <v>6440657.3200000003</v>
      </c>
      <c r="D434" s="179">
        <f>D177</f>
        <v>6440657.4000000004</v>
      </c>
    </row>
    <row r="435" spans="1:7" ht="12.6" customHeight="1" x14ac:dyDescent="0.2">
      <c r="A435" s="179" t="s">
        <v>447</v>
      </c>
      <c r="B435" s="179">
        <f t="shared" si="12"/>
        <v>3079635.33</v>
      </c>
      <c r="C435" s="179"/>
      <c r="D435" s="179">
        <f>D181</f>
        <v>3079635.14</v>
      </c>
    </row>
    <row r="436" spans="1:7" ht="12.6" customHeight="1" x14ac:dyDescent="0.2">
      <c r="A436" s="179" t="s">
        <v>475</v>
      </c>
      <c r="B436" s="179">
        <f t="shared" si="12"/>
        <v>8668373.129999999</v>
      </c>
      <c r="C436" s="179"/>
      <c r="D436" s="179">
        <f>D186</f>
        <v>8668373.129999999</v>
      </c>
    </row>
    <row r="437" spans="1:7" ht="12.6" customHeight="1" x14ac:dyDescent="0.2">
      <c r="A437" s="194" t="s">
        <v>449</v>
      </c>
      <c r="B437" s="194">
        <f t="shared" si="12"/>
        <v>78330.38</v>
      </c>
      <c r="C437" s="194"/>
      <c r="D437" s="194">
        <f>D190</f>
        <v>78330.38</v>
      </c>
    </row>
    <row r="438" spans="1:7" ht="12.6" customHeight="1" x14ac:dyDescent="0.2">
      <c r="A438" s="194" t="s">
        <v>476</v>
      </c>
      <c r="B438" s="194">
        <f>C386+C387+C388</f>
        <v>11826338.84</v>
      </c>
      <c r="C438" s="194">
        <f>CD69</f>
        <v>11826339</v>
      </c>
      <c r="D438" s="194">
        <f>D181+D186+D190</f>
        <v>11826338.65</v>
      </c>
      <c r="E438" s="180">
        <f>C438-D438</f>
        <v>0.34999999962747097</v>
      </c>
    </row>
    <row r="439" spans="1:7" ht="12.6" customHeight="1" x14ac:dyDescent="0.2">
      <c r="A439" s="179" t="s">
        <v>451</v>
      </c>
      <c r="B439" s="194">
        <f>C389</f>
        <v>4672616</v>
      </c>
      <c r="C439" s="194">
        <f>SUM(C69:CC69)</f>
        <v>4672616.1700000009</v>
      </c>
      <c r="D439" s="194"/>
      <c r="E439" s="180">
        <f t="shared" ref="E439:E441" si="14">B439-C439</f>
        <v>-0.17000000085681677</v>
      </c>
    </row>
    <row r="440" spans="1:7" ht="12.6" customHeight="1" x14ac:dyDescent="0.2">
      <c r="A440" s="179" t="s">
        <v>477</v>
      </c>
      <c r="B440" s="194">
        <f>B438+B439</f>
        <v>16498954.84</v>
      </c>
      <c r="C440" s="194">
        <f>CE69</f>
        <v>16498955.170000002</v>
      </c>
      <c r="D440" s="194"/>
      <c r="E440" s="180">
        <f t="shared" si="14"/>
        <v>-0.33000000193715096</v>
      </c>
    </row>
    <row r="441" spans="1:7" ht="12.6" customHeight="1" x14ac:dyDescent="0.2">
      <c r="A441" s="179" t="s">
        <v>478</v>
      </c>
      <c r="B441" s="194">
        <f>D390</f>
        <v>280211113.94</v>
      </c>
      <c r="C441" s="194">
        <f>SUM(C427:C437)+C440</f>
        <v>280211107.907085</v>
      </c>
      <c r="D441" s="194"/>
      <c r="E441" s="180">
        <f t="shared" si="14"/>
        <v>6.0329149961471558</v>
      </c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13143306.140000001</v>
      </c>
      <c r="C444" s="179">
        <f>C363</f>
        <v>13143306.140000001</v>
      </c>
      <c r="D444" s="179"/>
    </row>
    <row r="445" spans="1:7" ht="12.6" customHeight="1" x14ac:dyDescent="0.2">
      <c r="A445" s="179" t="s">
        <v>343</v>
      </c>
      <c r="B445" s="179">
        <f>D229</f>
        <v>1063337936.72</v>
      </c>
      <c r="C445" s="179">
        <f>C364</f>
        <v>1063337936.7200001</v>
      </c>
      <c r="D445" s="179"/>
    </row>
    <row r="446" spans="1:7" ht="12.6" customHeight="1" x14ac:dyDescent="0.2">
      <c r="A446" s="179" t="s">
        <v>351</v>
      </c>
      <c r="B446" s="179">
        <f>D236</f>
        <v>19148836.859999999</v>
      </c>
      <c r="C446" s="179">
        <f>C365</f>
        <v>19148836.859999999</v>
      </c>
      <c r="D446" s="179"/>
    </row>
    <row r="447" spans="1:7" ht="12.6" customHeight="1" x14ac:dyDescent="0.2">
      <c r="A447" s="179" t="s">
        <v>356</v>
      </c>
      <c r="B447" s="179">
        <f>D240</f>
        <v>19040780.170000002</v>
      </c>
      <c r="C447" s="179">
        <f>C366</f>
        <v>19040780.170000002</v>
      </c>
      <c r="D447" s="179"/>
    </row>
    <row r="448" spans="1:7" ht="12.6" customHeight="1" x14ac:dyDescent="0.2">
      <c r="A448" s="179" t="s">
        <v>358</v>
      </c>
      <c r="B448" s="179">
        <f>D242</f>
        <v>1114670859.8900001</v>
      </c>
      <c r="C448" s="179">
        <f>D367</f>
        <v>1114670859.8900001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7927</v>
      </c>
    </row>
    <row r="454" spans="1:7" ht="12.6" customHeight="1" x14ac:dyDescent="0.2">
      <c r="A454" s="179" t="s">
        <v>168</v>
      </c>
      <c r="B454" s="179">
        <f>C233</f>
        <v>3895739.03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15253097.829999998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5785671.5500000007</v>
      </c>
      <c r="C458" s="194">
        <f>CE70</f>
        <v>5785671.9900000002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578085548.32000005</v>
      </c>
      <c r="C463" s="194">
        <f>CE73</f>
        <v>578085547.97000015</v>
      </c>
      <c r="D463" s="194">
        <f>E141+E147+E153</f>
        <v>578085548</v>
      </c>
    </row>
    <row r="464" spans="1:7" ht="12.6" customHeight="1" x14ac:dyDescent="0.2">
      <c r="A464" s="179" t="s">
        <v>246</v>
      </c>
      <c r="B464" s="194">
        <f>C360</f>
        <v>835174617.3599999</v>
      </c>
      <c r="C464" s="194">
        <f>CE74</f>
        <v>835174617.05000019</v>
      </c>
      <c r="D464" s="194">
        <f>E142+E148+E154</f>
        <v>835174617</v>
      </c>
    </row>
    <row r="465" spans="1:7" ht="12.6" customHeight="1" x14ac:dyDescent="0.2">
      <c r="A465" s="179" t="s">
        <v>247</v>
      </c>
      <c r="B465" s="194">
        <f>D361</f>
        <v>1413260164.6799998</v>
      </c>
      <c r="C465" s="194">
        <f>CE75</f>
        <v>1413260165.0199997</v>
      </c>
      <c r="D465" s="194">
        <f>D463+D464</f>
        <v>1413260165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5">C267</f>
        <v>7206096.9900000002</v>
      </c>
      <c r="C468" s="179">
        <f>E195</f>
        <v>7206096.9900000002</v>
      </c>
      <c r="D468" s="179"/>
    </row>
    <row r="469" spans="1:7" ht="12.6" customHeight="1" x14ac:dyDescent="0.2">
      <c r="A469" s="179" t="s">
        <v>333</v>
      </c>
      <c r="B469" s="179">
        <f t="shared" si="15"/>
        <v>2932921.47</v>
      </c>
      <c r="C469" s="179">
        <f>E196</f>
        <v>2932921.47</v>
      </c>
      <c r="D469" s="179"/>
    </row>
    <row r="470" spans="1:7" ht="12.6" customHeight="1" x14ac:dyDescent="0.2">
      <c r="A470" s="179" t="s">
        <v>334</v>
      </c>
      <c r="B470" s="179">
        <f t="shared" si="15"/>
        <v>62428182.049999997</v>
      </c>
      <c r="C470" s="179">
        <f>E197</f>
        <v>62428182.420000002</v>
      </c>
      <c r="D470" s="179"/>
    </row>
    <row r="471" spans="1:7" ht="12.6" customHeight="1" x14ac:dyDescent="0.2">
      <c r="A471" s="179" t="s">
        <v>494</v>
      </c>
      <c r="B471" s="179">
        <f t="shared" si="15"/>
        <v>2991176</v>
      </c>
      <c r="C471" s="179">
        <f>E198</f>
        <v>2991176</v>
      </c>
      <c r="D471" s="179"/>
    </row>
    <row r="472" spans="1:7" ht="12.6" customHeight="1" x14ac:dyDescent="0.2">
      <c r="A472" s="179" t="s">
        <v>377</v>
      </c>
      <c r="B472" s="179">
        <f t="shared" si="15"/>
        <v>18691126.43</v>
      </c>
      <c r="C472" s="179">
        <f>E199</f>
        <v>18691125.710000001</v>
      </c>
      <c r="D472" s="179"/>
    </row>
    <row r="473" spans="1:7" ht="12.6" customHeight="1" x14ac:dyDescent="0.2">
      <c r="A473" s="179" t="s">
        <v>495</v>
      </c>
      <c r="B473" s="179">
        <f t="shared" si="15"/>
        <v>114086139.42</v>
      </c>
      <c r="C473" s="179">
        <f>SUM(E200:E201)</f>
        <v>114086139.42</v>
      </c>
      <c r="D473" s="179"/>
    </row>
    <row r="474" spans="1:7" ht="12.6" customHeight="1" x14ac:dyDescent="0.2">
      <c r="A474" s="179" t="s">
        <v>339</v>
      </c>
      <c r="B474" s="179">
        <f t="shared" si="15"/>
        <v>14806020.6</v>
      </c>
      <c r="C474" s="179">
        <f>E202</f>
        <v>14806020.690000001</v>
      </c>
      <c r="D474" s="179"/>
    </row>
    <row r="475" spans="1:7" ht="12.6" customHeight="1" x14ac:dyDescent="0.2">
      <c r="A475" s="179" t="s">
        <v>340</v>
      </c>
      <c r="B475" s="179">
        <f t="shared" si="15"/>
        <v>2231660.83</v>
      </c>
      <c r="C475" s="179">
        <f>E203</f>
        <v>2231661.3499999996</v>
      </c>
      <c r="D475" s="179"/>
    </row>
    <row r="476" spans="1:7" ht="12.6" customHeight="1" x14ac:dyDescent="0.2">
      <c r="A476" s="179" t="s">
        <v>203</v>
      </c>
      <c r="B476" s="179">
        <f>D275</f>
        <v>225373323.79000002</v>
      </c>
      <c r="C476" s="179">
        <f>E204</f>
        <v>225373324.04999998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94">
        <f>C276</f>
        <v>132695721.06</v>
      </c>
      <c r="C478" s="194">
        <f>E217</f>
        <v>132695720.97999999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199701152.89000002</v>
      </c>
    </row>
    <row r="482" spans="1:12" ht="12.6" customHeight="1" x14ac:dyDescent="0.2">
      <c r="A482" s="180" t="s">
        <v>499</v>
      </c>
      <c r="C482" s="180">
        <f>D339</f>
        <v>199701153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80" t="str">
        <f>C83</f>
        <v>201</v>
      </c>
      <c r="B493" s="261" t="s">
        <v>1267</v>
      </c>
      <c r="C493" s="261" t="str">
        <f>RIGHT(C82,4)</f>
        <v>2019</v>
      </c>
      <c r="D493" s="261" t="s">
        <v>1267</v>
      </c>
      <c r="E493" s="261" t="str">
        <f>RIGHT(C82,4)</f>
        <v>2019</v>
      </c>
      <c r="F493" s="261" t="s">
        <v>1267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v>7610033.0799999991</v>
      </c>
      <c r="C496" s="240">
        <f>C71</f>
        <v>7870795.0200000005</v>
      </c>
      <c r="D496" s="240">
        <v>4248</v>
      </c>
      <c r="E496" s="180">
        <f>C59</f>
        <v>4163</v>
      </c>
      <c r="F496" s="263">
        <f t="shared" ref="F496:G511" si="16">IF(B496=0,"",IF(D496=0,"",B496/D496))</f>
        <v>1791.4390489642183</v>
      </c>
      <c r="G496" s="264">
        <f t="shared" si="16"/>
        <v>1890.6545808311316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6"/>
        <v/>
      </c>
      <c r="G497" s="263" t="str">
        <f t="shared" si="16"/>
        <v/>
      </c>
      <c r="H497" s="265" t="str">
        <f t="shared" ref="H497:H550" si="17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v>21185595.530000005</v>
      </c>
      <c r="C498" s="240">
        <f>E71</f>
        <v>23000600.618759997</v>
      </c>
      <c r="D498" s="240">
        <v>29618</v>
      </c>
      <c r="E498" s="180">
        <f>E59</f>
        <v>28329</v>
      </c>
      <c r="F498" s="263">
        <f t="shared" si="16"/>
        <v>715.29460226889069</v>
      </c>
      <c r="G498" s="263">
        <f t="shared" si="16"/>
        <v>811.9100786741501</v>
      </c>
      <c r="H498" s="265" t="str">
        <f t="shared" si="17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6"/>
        <v/>
      </c>
      <c r="G499" s="263" t="str">
        <f t="shared" si="16"/>
        <v/>
      </c>
      <c r="H499" s="265" t="str">
        <f t="shared" si="17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v>0</v>
      </c>
      <c r="C500" s="240">
        <f>G71</f>
        <v>55580.076440000004</v>
      </c>
      <c r="D500" s="240">
        <v>0</v>
      </c>
      <c r="E500" s="180">
        <f>G59</f>
        <v>0</v>
      </c>
      <c r="F500" s="263" t="str">
        <f t="shared" si="16"/>
        <v/>
      </c>
      <c r="G500" s="263" t="str">
        <f t="shared" si="16"/>
        <v/>
      </c>
      <c r="H500" s="265" t="str">
        <f t="shared" si="17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6"/>
        <v/>
      </c>
      <c r="G501" s="263" t="str">
        <f t="shared" si="16"/>
        <v/>
      </c>
      <c r="H501" s="265" t="str">
        <f t="shared" si="17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6"/>
        <v/>
      </c>
      <c r="G502" s="263" t="str">
        <f t="shared" si="16"/>
        <v/>
      </c>
      <c r="H502" s="265" t="str">
        <f t="shared" si="17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2112</v>
      </c>
      <c r="F503" s="263" t="str">
        <f t="shared" si="16"/>
        <v/>
      </c>
      <c r="G503" s="263" t="str">
        <f t="shared" si="16"/>
        <v/>
      </c>
      <c r="H503" s="265" t="str">
        <f t="shared" si="17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6"/>
        <v/>
      </c>
      <c r="G504" s="263" t="str">
        <f t="shared" si="16"/>
        <v/>
      </c>
      <c r="H504" s="265" t="str">
        <f t="shared" si="17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6"/>
        <v/>
      </c>
      <c r="G505" s="263" t="str">
        <f t="shared" si="16"/>
        <v/>
      </c>
      <c r="H505" s="265" t="str">
        <f t="shared" si="17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6"/>
        <v/>
      </c>
      <c r="G506" s="263" t="str">
        <f t="shared" si="16"/>
        <v/>
      </c>
      <c r="H506" s="265" t="str">
        <f t="shared" si="17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6"/>
        <v/>
      </c>
      <c r="G507" s="263" t="str">
        <f t="shared" si="16"/>
        <v/>
      </c>
      <c r="H507" s="265" t="str">
        <f t="shared" si="17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v>8258761.4400000013</v>
      </c>
      <c r="C508" s="240">
        <f>O71</f>
        <v>8783231.8900000006</v>
      </c>
      <c r="D508" s="240">
        <v>5813</v>
      </c>
      <c r="E508" s="180">
        <f>O59</f>
        <v>5649</v>
      </c>
      <c r="F508" s="263">
        <f t="shared" si="16"/>
        <v>1420.7399690349221</v>
      </c>
      <c r="G508" s="263">
        <f t="shared" si="16"/>
        <v>1554.8295078775006</v>
      </c>
      <c r="H508" s="265" t="str">
        <f t="shared" si="17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v>35932684.659273669</v>
      </c>
      <c r="C509" s="240">
        <f>P71</f>
        <v>41871936.04056</v>
      </c>
      <c r="D509" s="240">
        <v>568551</v>
      </c>
      <c r="E509" s="180">
        <f>P59</f>
        <v>647410</v>
      </c>
      <c r="F509" s="263">
        <f t="shared" si="16"/>
        <v>63.200459869516841</v>
      </c>
      <c r="G509" s="263">
        <f t="shared" si="16"/>
        <v>64.676072412474326</v>
      </c>
      <c r="H509" s="265" t="str">
        <f t="shared" si="17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v>3870103.1300000004</v>
      </c>
      <c r="C510" s="240">
        <f>Q71</f>
        <v>4127517.4099999992</v>
      </c>
      <c r="D510" s="240">
        <v>19258</v>
      </c>
      <c r="E510" s="180">
        <f>Q59</f>
        <v>19094</v>
      </c>
      <c r="F510" s="263">
        <f t="shared" si="16"/>
        <v>200.9608022639942</v>
      </c>
      <c r="G510" s="263">
        <f t="shared" si="16"/>
        <v>216.16829422855344</v>
      </c>
      <c r="H510" s="265" t="str">
        <f t="shared" si="17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v>0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6"/>
        <v/>
      </c>
      <c r="G511" s="263" t="str">
        <f t="shared" si="16"/>
        <v/>
      </c>
      <c r="H511" s="265" t="str">
        <f t="shared" si="17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v>1875398.3436505999</v>
      </c>
      <c r="C512" s="240">
        <f>S71</f>
        <v>2029196.8950259599</v>
      </c>
      <c r="D512" s="181" t="s">
        <v>529</v>
      </c>
      <c r="E512" s="181" t="s">
        <v>529</v>
      </c>
      <c r="F512" s="263" t="str">
        <f t="shared" ref="F512:G527" si="18">IF(B512=0,"",IF(D512=0,"",B512/D512))</f>
        <v/>
      </c>
      <c r="G512" s="263" t="str">
        <f t="shared" si="18"/>
        <v/>
      </c>
      <c r="H512" s="265" t="str">
        <f t="shared" si="17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v>591594.69000000006</v>
      </c>
      <c r="C513" s="240">
        <f>T71</f>
        <v>715434.62303999998</v>
      </c>
      <c r="D513" s="181" t="s">
        <v>529</v>
      </c>
      <c r="E513" s="181" t="s">
        <v>529</v>
      </c>
      <c r="F513" s="263" t="str">
        <f t="shared" si="18"/>
        <v/>
      </c>
      <c r="G513" s="263" t="str">
        <f t="shared" si="18"/>
        <v/>
      </c>
      <c r="H513" s="265" t="str">
        <f t="shared" si="17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v>5631336.5000000009</v>
      </c>
      <c r="C514" s="240">
        <f>U71</f>
        <v>5615417.7599999998</v>
      </c>
      <c r="D514" s="240">
        <v>484112</v>
      </c>
      <c r="E514" s="180">
        <f>U59</f>
        <v>457730</v>
      </c>
      <c r="F514" s="263">
        <f t="shared" si="18"/>
        <v>11.632300996463631</v>
      </c>
      <c r="G514" s="263">
        <f t="shared" si="18"/>
        <v>12.267969676446814</v>
      </c>
      <c r="H514" s="265" t="str">
        <f t="shared" si="17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8"/>
        <v/>
      </c>
      <c r="G515" s="263" t="str">
        <f t="shared" si="18"/>
        <v/>
      </c>
      <c r="H515" s="265" t="str">
        <f t="shared" si="17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v>0</v>
      </c>
      <c r="C516" s="240">
        <f>W71</f>
        <v>0</v>
      </c>
      <c r="D516" s="240">
        <v>0</v>
      </c>
      <c r="E516" s="180">
        <f>W59</f>
        <v>0</v>
      </c>
      <c r="F516" s="263" t="str">
        <f t="shared" si="18"/>
        <v/>
      </c>
      <c r="G516" s="263" t="str">
        <f t="shared" si="18"/>
        <v/>
      </c>
      <c r="H516" s="265" t="str">
        <f t="shared" si="17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v>1192390.7200000002</v>
      </c>
      <c r="C517" s="240">
        <f>X71</f>
        <v>1456995.9700000002</v>
      </c>
      <c r="D517" s="240">
        <v>16503</v>
      </c>
      <c r="E517" s="180">
        <f>X59</f>
        <v>21858</v>
      </c>
      <c r="F517" s="263">
        <f t="shared" si="18"/>
        <v>72.252967339271663</v>
      </c>
      <c r="G517" s="263">
        <f t="shared" si="18"/>
        <v>66.657332326836865</v>
      </c>
      <c r="H517" s="265" t="str">
        <f t="shared" si="17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v>7554395.71</v>
      </c>
      <c r="C518" s="240">
        <f>Y71</f>
        <v>7435543.1299999999</v>
      </c>
      <c r="D518" s="240">
        <v>165274</v>
      </c>
      <c r="E518" s="180">
        <f>Y59</f>
        <v>180947</v>
      </c>
      <c r="F518" s="263">
        <f t="shared" si="18"/>
        <v>45.708312922782774</v>
      </c>
      <c r="G518" s="263">
        <f t="shared" si="18"/>
        <v>41.092381360287817</v>
      </c>
      <c r="H518" s="265" t="str">
        <f t="shared" si="17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8"/>
        <v/>
      </c>
      <c r="G519" s="263" t="str">
        <f t="shared" si="18"/>
        <v/>
      </c>
      <c r="H519" s="265" t="str">
        <f t="shared" si="17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v>1336781.4300000002</v>
      </c>
      <c r="C520" s="240">
        <f>AA71</f>
        <v>1307693.44</v>
      </c>
      <c r="D520" s="240">
        <v>1848</v>
      </c>
      <c r="E520" s="180">
        <f>AA59</f>
        <v>1984</v>
      </c>
      <c r="F520" s="263">
        <f t="shared" si="18"/>
        <v>723.36657467532473</v>
      </c>
      <c r="G520" s="263">
        <f t="shared" si="18"/>
        <v>659.11967741935484</v>
      </c>
      <c r="H520" s="265" t="str">
        <f t="shared" si="17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v>9568427.6899999976</v>
      </c>
      <c r="C521" s="240">
        <f>AB71</f>
        <v>10447665.34</v>
      </c>
      <c r="D521" s="181" t="s">
        <v>529</v>
      </c>
      <c r="E521" s="181" t="s">
        <v>529</v>
      </c>
      <c r="F521" s="263" t="str">
        <f t="shared" si="18"/>
        <v/>
      </c>
      <c r="G521" s="263" t="str">
        <f t="shared" si="18"/>
        <v/>
      </c>
      <c r="H521" s="265" t="str">
        <f t="shared" si="17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v>1597252.4400000004</v>
      </c>
      <c r="C522" s="240">
        <f>AC71</f>
        <v>1685918.11</v>
      </c>
      <c r="D522" s="240">
        <v>42247</v>
      </c>
      <c r="E522" s="180">
        <f>AC59</f>
        <v>41333</v>
      </c>
      <c r="F522" s="263">
        <f t="shared" si="18"/>
        <v>37.80747603380123</v>
      </c>
      <c r="G522" s="263">
        <f t="shared" si="18"/>
        <v>40.788670311857359</v>
      </c>
      <c r="H522" s="265" t="str">
        <f t="shared" si="17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v>503479.66</v>
      </c>
      <c r="C523" s="240">
        <f>AD71</f>
        <v>502476.93999999994</v>
      </c>
      <c r="D523" s="240">
        <v>0</v>
      </c>
      <c r="E523" s="180">
        <f>AD59</f>
        <v>0</v>
      </c>
      <c r="F523" s="263" t="str">
        <f t="shared" si="18"/>
        <v/>
      </c>
      <c r="G523" s="263" t="str">
        <f t="shared" si="18"/>
        <v/>
      </c>
      <c r="H523" s="265" t="str">
        <f t="shared" si="17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v>2588240.83</v>
      </c>
      <c r="C524" s="240">
        <f>AE71</f>
        <v>2683681.59</v>
      </c>
      <c r="D524" s="240">
        <v>72289</v>
      </c>
      <c r="E524" s="180">
        <f>AE59</f>
        <v>82798</v>
      </c>
      <c r="F524" s="263">
        <f t="shared" si="18"/>
        <v>35.804075723830735</v>
      </c>
      <c r="G524" s="263">
        <f t="shared" si="18"/>
        <v>32.412396313920624</v>
      </c>
      <c r="H524" s="265" t="str">
        <f t="shared" si="17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8"/>
        <v/>
      </c>
      <c r="G525" s="263" t="str">
        <f t="shared" si="18"/>
        <v/>
      </c>
      <c r="H525" s="265" t="str">
        <f t="shared" si="17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v>14004251.220000001</v>
      </c>
      <c r="C526" s="240">
        <f>AG71</f>
        <v>15051312.894299999</v>
      </c>
      <c r="D526" s="240">
        <v>46903</v>
      </c>
      <c r="E526" s="180">
        <f>AG59</f>
        <v>51261</v>
      </c>
      <c r="F526" s="263">
        <f t="shared" si="18"/>
        <v>298.57900816578899</v>
      </c>
      <c r="G526" s="263">
        <f t="shared" si="18"/>
        <v>293.62113291391114</v>
      </c>
      <c r="H526" s="265" t="str">
        <f t="shared" si="17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8"/>
        <v/>
      </c>
      <c r="G527" s="263" t="str">
        <f t="shared" si="18"/>
        <v/>
      </c>
      <c r="H527" s="265" t="str">
        <f t="shared" si="17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9">IF(B528=0,"",IF(D528=0,"",B528/D528))</f>
        <v/>
      </c>
      <c r="G528" s="263" t="str">
        <f t="shared" si="19"/>
        <v/>
      </c>
      <c r="H528" s="265" t="str">
        <f t="shared" si="17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v>4965767.49</v>
      </c>
      <c r="C529" s="240">
        <f>AJ71</f>
        <v>63934649.649999999</v>
      </c>
      <c r="D529" s="240">
        <v>20665</v>
      </c>
      <c r="E529" s="180">
        <f>AJ59</f>
        <v>288731</v>
      </c>
      <c r="F529" s="263">
        <f t="shared" si="19"/>
        <v>240.29845100411325</v>
      </c>
      <c r="G529" s="263">
        <f t="shared" si="19"/>
        <v>221.43327058750185</v>
      </c>
      <c r="H529" s="265" t="str">
        <f t="shared" si="17"/>
        <v/>
      </c>
      <c r="I529" s="267" t="s">
        <v>1278</v>
      </c>
      <c r="K529" s="261"/>
      <c r="L529" s="261"/>
    </row>
    <row r="530" spans="1:12" ht="12.6" customHeight="1" x14ac:dyDescent="0.2">
      <c r="A530" s="180" t="s">
        <v>546</v>
      </c>
      <c r="B530" s="240">
        <v>424922.43</v>
      </c>
      <c r="C530" s="240">
        <f>AK71</f>
        <v>455890.36</v>
      </c>
      <c r="D530" s="240">
        <v>11869</v>
      </c>
      <c r="E530" s="180">
        <f>AK59</f>
        <v>13455</v>
      </c>
      <c r="F530" s="263">
        <f t="shared" si="19"/>
        <v>35.801030415367762</v>
      </c>
      <c r="G530" s="263">
        <f t="shared" si="19"/>
        <v>33.882598290598288</v>
      </c>
      <c r="H530" s="265" t="str">
        <f t="shared" si="17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v>163225.46</v>
      </c>
      <c r="C531" s="240">
        <f>AL71</f>
        <v>181284.47</v>
      </c>
      <c r="D531" s="240">
        <v>2166</v>
      </c>
      <c r="E531" s="180">
        <f>AL59</f>
        <v>2659</v>
      </c>
      <c r="F531" s="263">
        <f t="shared" si="19"/>
        <v>75.358014773776546</v>
      </c>
      <c r="G531" s="263">
        <f t="shared" si="19"/>
        <v>68.177687100413692</v>
      </c>
      <c r="H531" s="265" t="str">
        <f t="shared" si="17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9"/>
        <v/>
      </c>
      <c r="G532" s="263" t="str">
        <f t="shared" si="19"/>
        <v/>
      </c>
      <c r="H532" s="265" t="str">
        <f t="shared" si="17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9"/>
        <v/>
      </c>
      <c r="G533" s="263" t="str">
        <f t="shared" si="19"/>
        <v/>
      </c>
      <c r="H533" s="265" t="str">
        <f t="shared" si="17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9"/>
        <v/>
      </c>
      <c r="G534" s="263" t="str">
        <f t="shared" si="19"/>
        <v/>
      </c>
      <c r="H534" s="265" t="str">
        <f t="shared" si="17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9"/>
        <v/>
      </c>
      <c r="G535" s="263" t="str">
        <f t="shared" si="19"/>
        <v/>
      </c>
      <c r="H535" s="265" t="str">
        <f t="shared" si="17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9"/>
        <v/>
      </c>
      <c r="G536" s="263" t="str">
        <f t="shared" si="19"/>
        <v/>
      </c>
      <c r="H536" s="265" t="str">
        <f t="shared" si="17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9"/>
        <v/>
      </c>
      <c r="G537" s="263" t="str">
        <f t="shared" si="19"/>
        <v/>
      </c>
      <c r="H537" s="265" t="str">
        <f t="shared" si="17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9"/>
        <v/>
      </c>
      <c r="G538" s="263" t="str">
        <f t="shared" si="19"/>
        <v/>
      </c>
      <c r="H538" s="265" t="str">
        <f t="shared" si="17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9"/>
        <v/>
      </c>
      <c r="G539" s="263" t="str">
        <f t="shared" si="19"/>
        <v/>
      </c>
      <c r="H539" s="265" t="str">
        <f t="shared" si="17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9"/>
        <v/>
      </c>
      <c r="G540" s="263" t="str">
        <f t="shared" si="19"/>
        <v/>
      </c>
      <c r="H540" s="265" t="str">
        <f t="shared" si="17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v>2956615.6842000009</v>
      </c>
      <c r="C541" s="240">
        <f>AV71</f>
        <v>2947520.0734399999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v>679.51070000000004</v>
      </c>
      <c r="C543" s="240">
        <f>AX71</f>
        <v>90426.435839999991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v>0</v>
      </c>
      <c r="C544" s="240">
        <f>AY71</f>
        <v>0</v>
      </c>
      <c r="D544" s="240">
        <v>175401</v>
      </c>
      <c r="E544" s="180">
        <f>AY59</f>
        <v>158146</v>
      </c>
      <c r="F544" s="263" t="str">
        <f t="shared" ref="F544:G550" si="20">IF(B544=0,"",IF(D544=0,"",B544/D544))</f>
        <v/>
      </c>
      <c r="G544" s="263" t="str">
        <f t="shared" si="20"/>
        <v/>
      </c>
      <c r="H544" s="265" t="str">
        <f t="shared" si="17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v>2801613.7900000005</v>
      </c>
      <c r="C545" s="240">
        <f>AZ71</f>
        <v>2984666.1400000006</v>
      </c>
      <c r="D545" s="240">
        <v>175401</v>
      </c>
      <c r="E545" s="180">
        <f>AZ59</f>
        <v>287297</v>
      </c>
      <c r="F545" s="263">
        <f t="shared" si="20"/>
        <v>15.972621535795124</v>
      </c>
      <c r="G545" s="263">
        <f t="shared" si="20"/>
        <v>10.388782827526917</v>
      </c>
      <c r="H545" s="265">
        <f t="shared" si="17"/>
        <v>-0.34958811837835491</v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v>111158.36000000002</v>
      </c>
      <c r="C546" s="240">
        <f>BA71</f>
        <v>102978.96</v>
      </c>
      <c r="D546" s="240">
        <v>0</v>
      </c>
      <c r="E546" s="180">
        <f>BA59</f>
        <v>0</v>
      </c>
      <c r="F546" s="263" t="str">
        <f t="shared" si="20"/>
        <v/>
      </c>
      <c r="G546" s="263" t="str">
        <f t="shared" si="20"/>
        <v/>
      </c>
      <c r="H546" s="265" t="str">
        <f t="shared" si="17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v>647247.46557283308</v>
      </c>
      <c r="C548" s="240">
        <f>BC71</f>
        <v>439556.11999999994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v>7715635.3266000003</v>
      </c>
      <c r="C550" s="240">
        <f>BE71</f>
        <v>8418323.9420799986</v>
      </c>
      <c r="D550" s="240">
        <v>263778</v>
      </c>
      <c r="E550" s="180">
        <f>BE59</f>
        <v>259285</v>
      </c>
      <c r="F550" s="263">
        <f t="shared" si="20"/>
        <v>29.250488390237248</v>
      </c>
      <c r="G550" s="263">
        <f t="shared" si="20"/>
        <v>32.467454507896711</v>
      </c>
      <c r="H550" s="265" t="str">
        <f t="shared" si="17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v>2405714.4199999995</v>
      </c>
      <c r="C551" s="240">
        <f>BF71</f>
        <v>2534083.4099999997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v>32840.601200000005</v>
      </c>
      <c r="C552" s="240">
        <f>BG71</f>
        <v>389276.50388000003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v>63450.0933</v>
      </c>
      <c r="C553" s="240">
        <f>BH71</f>
        <v>1695883.3672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v>595.21000000003551</v>
      </c>
      <c r="C554" s="240">
        <f>BI71</f>
        <v>-15814.5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v>568052.14619999996</v>
      </c>
      <c r="C555" s="240">
        <f>BJ71</f>
        <v>404906.16291999992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v>2363191.3542577792</v>
      </c>
      <c r="C556" s="240">
        <f>BK71</f>
        <v>2621220.3315065242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v>3491735.2032486564</v>
      </c>
      <c r="C557" s="240">
        <f>BL71</f>
        <v>3542541.3830400002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v>8439778.725304829</v>
      </c>
      <c r="C559" s="240">
        <f>BN71</f>
        <v>6510546.2978712199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v>321491.86410000001</v>
      </c>
      <c r="C560" s="240">
        <f>BO71</f>
        <v>295139.38695999997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v>415951.22139999998</v>
      </c>
      <c r="C561" s="240">
        <f>BP71</f>
        <v>1555366.5328800001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v>1369689.1805</v>
      </c>
      <c r="C563" s="240">
        <f>BR71</f>
        <v>994715.94715999987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v>15.505600000000001</v>
      </c>
      <c r="C564" s="240">
        <f>BS71</f>
        <v>81550.92203999999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v>24222.667700000005</v>
      </c>
      <c r="C565" s="240">
        <f>BT71</f>
        <v>139625.12723999997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v>37273.8531</v>
      </c>
      <c r="C566" s="240">
        <f>BU71</f>
        <v>48639.972760000011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v>3439378.9096474978</v>
      </c>
      <c r="C567" s="240">
        <f>BV71</f>
        <v>3649972.7263086676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v>386745.64761799999</v>
      </c>
      <c r="C568" s="240">
        <f>BW71</f>
        <v>716660.39091758011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v>1594195.8198080198</v>
      </c>
      <c r="C569" s="240">
        <f>BX71</f>
        <v>4316888.6693151034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v>1915072.0371999997</v>
      </c>
      <c r="C570" s="240">
        <f>BY71</f>
        <v>1962610.4277999999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v>1163143.7235000001</v>
      </c>
      <c r="C572" s="240">
        <f>CA71</f>
        <v>1237650.8704799998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v>46061.413200000003</v>
      </c>
      <c r="C573" s="240">
        <f>CB71</f>
        <v>52220.447319999999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v>19003414.873118103</v>
      </c>
      <c r="C574" s="240">
        <f>CC71</f>
        <v>16256744.639999999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v>10558221.030000001</v>
      </c>
      <c r="C575" s="240">
        <f>CD71</f>
        <v>11238713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198897.66999999998</v>
      </c>
      <c r="E612" s="180">
        <f>SUM(C624:D647)+SUM(C668:D713)</f>
        <v>246791660.35430014</v>
      </c>
      <c r="F612" s="180">
        <f>CE64-(AX64+BD64+BE64+BG64+BJ64+BN64+BP64+BQ64+CB64+CC64+CD64)</f>
        <v>36944525.330000006</v>
      </c>
      <c r="G612" s="180">
        <f>CE77-(AX77+AY77+BD77+BE77+BG77+BJ77+BN77+BP77+BQ77+CB77+CC77+CD77)</f>
        <v>158146</v>
      </c>
      <c r="H612" s="197">
        <f>CE60-(AX60+AY60+AZ60+BD60+BE60+BG60+BJ60+BN60+BO60+BP60+BQ60+BR60+CB60+CC60+CD60)</f>
        <v>1120.5399999999995</v>
      </c>
      <c r="I612" s="180">
        <f>CE78-(AX78+AY78+AZ78+BD78+BE78+BF78+BG78+BJ78+BN78+BO78+BP78+BQ78+BR78+CB78+CC78+CD78)</f>
        <v>67219</v>
      </c>
      <c r="J612" s="180">
        <f>CE79-(AX79+AY79+AZ79+BA79+BD79+BE79+BF79+BG79+BJ79+BN79+BO79+BP79+BQ79+BR79+CB79+CC79+CD79)</f>
        <v>1094304</v>
      </c>
      <c r="K612" s="180">
        <f>CE75-(AW75+AX75+AY75+AZ75+BA75+BB75+BC75+BD75+BE75+BF75+BG75+BH75+BI75+BJ75+BK75+BL75+BM75+BN75+BO75+BP75+BQ75+BR75+BS75+BT75+BU75+BV75+BW75+BX75+CB75+CC75+CD75)</f>
        <v>1413260165.0199997</v>
      </c>
      <c r="L612" s="197">
        <f>CE80-(AW80+AX80+AY80+AZ80+BA80+BB80+BC80+BD80+BE80+BF80+BG80+BH80+BI80+BJ80+BK80+BL80+BM80+BN80+BO80+BP80+BQ80+BR80+BS80+BT80+BU80+BV80+BW80+BX80+BY80+BZ80+CA80+CB80+CC80+CD80)</f>
        <v>345.96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8418323.9420799986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11238713</v>
      </c>
      <c r="D615" s="266">
        <f>SUM(C614:C615)</f>
        <v>19657036.942079999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90426.435839999991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404906.16291999992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389276.50388000003</v>
      </c>
      <c r="D618" s="180">
        <f>(D615/D612)*BG76</f>
        <v>0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6510546.2978712199</v>
      </c>
      <c r="D619" s="180">
        <f>(D615/D612)*BN76</f>
        <v>2374288.5420737234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16256744.639999999</v>
      </c>
      <c r="D620" s="180">
        <f>(D615/D612)*CC76</f>
        <v>0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1555366.5328800001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52220.447319999999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27633775.56278494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994715.94715999987</v>
      </c>
      <c r="D626" s="180">
        <f>(D615/D612)*BR76</f>
        <v>0</v>
      </c>
      <c r="E626" s="180">
        <f>(E623/E612)*SUM(C626:D626)</f>
        <v>111380.41371852024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295139.38695999997</v>
      </c>
      <c r="D627" s="180">
        <f>(D615/D612)*BO76</f>
        <v>0</v>
      </c>
      <c r="E627" s="180">
        <f>(E623/E612)*SUM(C627:D627)</f>
        <v>33047.371079241042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2984666.1400000006</v>
      </c>
      <c r="D628" s="180">
        <f>(D615/D612)*AZ76</f>
        <v>564121.07223474584</v>
      </c>
      <c r="E628" s="180">
        <f>(E623/E612)*SUM(C628:D628)</f>
        <v>397365.08600894263</v>
      </c>
      <c r="F628" s="180">
        <f>(F624/F612)*AZ64</f>
        <v>0</v>
      </c>
      <c r="G628" s="180">
        <f>(G625/G612)*AZ77</f>
        <v>0</v>
      </c>
      <c r="H628" s="180">
        <f>SUM(C626:G628)</f>
        <v>5380435.4171614507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2534083.4099999997</v>
      </c>
      <c r="D629" s="180">
        <f>(D615/D612)*BF76</f>
        <v>61768.687832290852</v>
      </c>
      <c r="E629" s="180">
        <f>(E623/E612)*SUM(C629:D629)</f>
        <v>290662.95904286247</v>
      </c>
      <c r="F629" s="180">
        <f>(F624/F612)*BF64</f>
        <v>0</v>
      </c>
      <c r="G629" s="180">
        <f>(G625/G612)*BF77</f>
        <v>0</v>
      </c>
      <c r="H629" s="180">
        <f>(H628/H612)*BF60</f>
        <v>155189.17011678134</v>
      </c>
      <c r="I629" s="180">
        <f>SUM(C629:H629)</f>
        <v>3041704.2269919342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102978.96</v>
      </c>
      <c r="D630" s="180">
        <f>(D615/D612)*BA76</f>
        <v>213373.75524786551</v>
      </c>
      <c r="E630" s="180">
        <f>(E623/E612)*SUM(C630:D630)</f>
        <v>35422.671573613436</v>
      </c>
      <c r="F630" s="180">
        <f>(F624/F612)*BA64</f>
        <v>0</v>
      </c>
      <c r="G630" s="180">
        <f>(G625/G612)*BA77</f>
        <v>0</v>
      </c>
      <c r="H630" s="180">
        <f>(H628/H612)*BA60</f>
        <v>4897.6780172994113</v>
      </c>
      <c r="I630" s="180">
        <f>(I629/I612)*BA78</f>
        <v>39322.82499376651</v>
      </c>
      <c r="J630" s="180">
        <f>SUM(C630:I630)</f>
        <v>395995.88983254484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439556.11999999994</v>
      </c>
      <c r="D633" s="180">
        <f>(D615/D612)*BC76</f>
        <v>0</v>
      </c>
      <c r="E633" s="180">
        <f>(E623/E612)*SUM(C633:D633)</f>
        <v>49218.013079901546</v>
      </c>
      <c r="F633" s="180">
        <f>(F624/F612)*BC64</f>
        <v>0</v>
      </c>
      <c r="G633" s="180">
        <f>(G625/G612)*BC77</f>
        <v>0</v>
      </c>
      <c r="H633" s="180">
        <f>(H628/H612)*BC60</f>
        <v>32891.269037746046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-15814.5</v>
      </c>
      <c r="D634" s="180">
        <f>(D615/D612)*BI76</f>
        <v>47833.671857326037</v>
      </c>
      <c r="E634" s="180">
        <f>(E623/E612)*SUM(C634:D634)</f>
        <v>3585.2532761493312</v>
      </c>
      <c r="F634" s="180">
        <f>(F624/F612)*BI64</f>
        <v>0</v>
      </c>
      <c r="G634" s="180">
        <f>(G625/G612)*BI77</f>
        <v>0</v>
      </c>
      <c r="H634" s="180">
        <f>(H628/H612)*BI60</f>
        <v>1440.4935344998269</v>
      </c>
      <c r="I634" s="180">
        <f>(I629/I612)*BI78</f>
        <v>8823.8790262191815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2621220.3315065242</v>
      </c>
      <c r="D635" s="180">
        <f>(D615/D612)*BK76</f>
        <v>0</v>
      </c>
      <c r="E635" s="180">
        <f>(E623/E612)*SUM(C635:D635)</f>
        <v>293503.49293599185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1695883.3672</v>
      </c>
      <c r="D636" s="180">
        <f>(D615/D612)*BH76</f>
        <v>0</v>
      </c>
      <c r="E636" s="180">
        <f>(E623/E612)*SUM(C636:D636)</f>
        <v>189891.58824324203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3542541.3830400002</v>
      </c>
      <c r="D637" s="180">
        <f>(D615/D612)*BL76</f>
        <v>0</v>
      </c>
      <c r="E637" s="180">
        <f>(E623/E612)*SUM(C637:D637)</f>
        <v>396665.72752201755</v>
      </c>
      <c r="F637" s="180">
        <f>(F624/F612)*BL64</f>
        <v>0</v>
      </c>
      <c r="G637" s="180">
        <f>(G625/G612)*BL77</f>
        <v>0</v>
      </c>
      <c r="H637" s="180">
        <f>(H628/H612)*BL60</f>
        <v>8883.0434627489321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81550.92203999999</v>
      </c>
      <c r="D639" s="180">
        <f>(D615/D612)*BS76</f>
        <v>0</v>
      </c>
      <c r="E639" s="180">
        <f>(E623/E612)*SUM(C639:D639)</f>
        <v>9131.4263754142503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139625.12723999997</v>
      </c>
      <c r="D640" s="180">
        <f>(D615/D612)*BT76</f>
        <v>0</v>
      </c>
      <c r="E640" s="180">
        <f>(E623/E612)*SUM(C640:D640)</f>
        <v>15634.115932184579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48639.972760000011</v>
      </c>
      <c r="D641" s="180">
        <f>(D615/D612)*BU76</f>
        <v>0</v>
      </c>
      <c r="E641" s="180">
        <f>(E623/E612)*SUM(C641:D641)</f>
        <v>5446.3189262561873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3649972.7263086676</v>
      </c>
      <c r="D642" s="180">
        <f>(D615/D612)*BV76</f>
        <v>253992.84436637998</v>
      </c>
      <c r="E642" s="180">
        <f>(E623/E612)*SUM(C642:D642)</f>
        <v>437135.14561228227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46834.434831471044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716660.39091758011</v>
      </c>
      <c r="D643" s="180">
        <f>(D615/D612)*BW76</f>
        <v>0</v>
      </c>
      <c r="E643" s="180">
        <f>(E623/E612)*SUM(C643:D643)</f>
        <v>80245.954700912407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4316888.6693151034</v>
      </c>
      <c r="D644" s="180">
        <f>(D615/D612)*BX76</f>
        <v>0</v>
      </c>
      <c r="E644" s="180">
        <f>(E623/E612)*SUM(C644:D644)</f>
        <v>483371.00389099249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19601252.186939612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1962610.4277999999</v>
      </c>
      <c r="D645" s="180">
        <f>(D615/D612)*BY76</f>
        <v>146465.91258792806</v>
      </c>
      <c r="E645" s="180">
        <f>(E623/E612)*SUM(C645:D645)</f>
        <v>236157.66493644528</v>
      </c>
      <c r="F645" s="180">
        <f>(F624/F612)*BY64</f>
        <v>0</v>
      </c>
      <c r="G645" s="180">
        <f>(G625/G612)*BY77</f>
        <v>0</v>
      </c>
      <c r="H645" s="180">
        <f>(H628/H612)*BY60</f>
        <v>63573.78132259236</v>
      </c>
      <c r="I645" s="180">
        <f>(I629/I612)*BY78</f>
        <v>27014.645018732572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1237650.8704799998</v>
      </c>
      <c r="D647" s="180">
        <f>(D615/D612)*CA76</f>
        <v>0</v>
      </c>
      <c r="E647" s="180">
        <f>(E623/E612)*SUM(C647:D647)</f>
        <v>138582.34241315117</v>
      </c>
      <c r="F647" s="180">
        <f>(F624/F612)*CA64</f>
        <v>0</v>
      </c>
      <c r="G647" s="180">
        <f>(G625/G612)*CA77</f>
        <v>0</v>
      </c>
      <c r="H647" s="180">
        <f>(H628/H612)*CA60</f>
        <v>26985.245546296755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3839040.890105146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72265093.615519091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7870795.0200000005</v>
      </c>
      <c r="D668" s="180">
        <f>(D615/D612)*C76</f>
        <v>1098197.8547078655</v>
      </c>
      <c r="E668" s="180">
        <f>(E623/E612)*SUM(C668:D668)</f>
        <v>1004276.7886405849</v>
      </c>
      <c r="F668" s="180">
        <f>(F624/F612)*C64</f>
        <v>0</v>
      </c>
      <c r="G668" s="180">
        <f>(G625/G612)*C77</f>
        <v>0</v>
      </c>
      <c r="H668" s="180">
        <f>(H628/H612)*C60</f>
        <v>216794.27694222392</v>
      </c>
      <c r="I668" s="180">
        <f>(I629/I612)*C78</f>
        <v>202451.46032463908</v>
      </c>
      <c r="J668" s="180">
        <f>(J630/J612)*C79</f>
        <v>0</v>
      </c>
      <c r="K668" s="180">
        <f>(K644/K612)*C75</f>
        <v>356749.34075005713</v>
      </c>
      <c r="L668" s="180">
        <f>(L647/L612)*C80</f>
        <v>368191.05310928647</v>
      </c>
      <c r="M668" s="180">
        <f t="shared" ref="M668:M713" si="21">ROUND(SUM(D668:L668),0)</f>
        <v>3246661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23000600.618759997</v>
      </c>
      <c r="D670" s="180">
        <f>(D615/D612)*E76</f>
        <v>4833823.8031500401</v>
      </c>
      <c r="E670" s="180">
        <f>(E623/E612)*SUM(C670:D670)</f>
        <v>3116678.4010858485</v>
      </c>
      <c r="F670" s="180">
        <f>(F624/F612)*E64</f>
        <v>0</v>
      </c>
      <c r="G670" s="180">
        <f>(G625/G612)*E77</f>
        <v>0</v>
      </c>
      <c r="H670" s="180">
        <f>(H628/H612)*E60</f>
        <v>918218.59534133959</v>
      </c>
      <c r="I670" s="180">
        <f>(I629/I612)*E78</f>
        <v>891166.53098646447</v>
      </c>
      <c r="J670" s="180">
        <f>(J630/J612)*E79</f>
        <v>104059.72570340273</v>
      </c>
      <c r="K670" s="180">
        <f>(K644/K612)*E75</f>
        <v>1515986.1551586059</v>
      </c>
      <c r="L670" s="180">
        <f>(L647/L612)*E80</f>
        <v>1282121.5875903245</v>
      </c>
      <c r="M670" s="180">
        <f t="shared" si="21"/>
        <v>12662055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55580.076440000004</v>
      </c>
      <c r="D672" s="180">
        <f>(D615/D612)*G76</f>
        <v>0</v>
      </c>
      <c r="E672" s="180">
        <f>(E623/E612)*SUM(C672:D672)</f>
        <v>6223.416771459918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6223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1"/>
        <v>0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8783231.8900000006</v>
      </c>
      <c r="D680" s="180">
        <f>(D615/D612)*O76</f>
        <v>420422.39686170442</v>
      </c>
      <c r="E680" s="180">
        <f>(E623/E612)*SUM(C680:D680)</f>
        <v>1030552.3150801571</v>
      </c>
      <c r="F680" s="180">
        <f>(F624/F612)*O64</f>
        <v>0</v>
      </c>
      <c r="G680" s="180">
        <f>(G625/G612)*O77</f>
        <v>0</v>
      </c>
      <c r="H680" s="180">
        <f>(H628/H612)*O60</f>
        <v>270764.76803481748</v>
      </c>
      <c r="I680" s="180">
        <f>(I629/I612)*O78</f>
        <v>77514.383445710046</v>
      </c>
      <c r="J680" s="180">
        <f>(J630/J612)*O79</f>
        <v>44250.922405732694</v>
      </c>
      <c r="K680" s="180">
        <f>(K644/K612)*O75</f>
        <v>615930.64739148633</v>
      </c>
      <c r="L680" s="180">
        <f>(L647/L612)*O80</f>
        <v>403367.83545878733</v>
      </c>
      <c r="M680" s="180">
        <f t="shared" si="21"/>
        <v>2862803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41871936.04056</v>
      </c>
      <c r="D681" s="180">
        <f>(D615/D612)*P76</f>
        <v>2329420.7555313525</v>
      </c>
      <c r="E681" s="180">
        <f>(E623/E612)*SUM(C681:D681)</f>
        <v>4949317.8639838286</v>
      </c>
      <c r="F681" s="180">
        <f>(F624/F612)*P64</f>
        <v>0</v>
      </c>
      <c r="G681" s="180">
        <f>(G625/G612)*P77</f>
        <v>0</v>
      </c>
      <c r="H681" s="180">
        <f>(H628/H612)*P60</f>
        <v>463838.9181089442</v>
      </c>
      <c r="I681" s="180">
        <f>(I629/I612)*P78</f>
        <v>403364.39815239888</v>
      </c>
      <c r="J681" s="180">
        <f>(J630/J612)*P79</f>
        <v>110035.64841290086</v>
      </c>
      <c r="K681" s="180">
        <f>(K644/K612)*P75</f>
        <v>6020471.678993715</v>
      </c>
      <c r="L681" s="180">
        <f>(L647/L612)*P80</f>
        <v>502129.14867978339</v>
      </c>
      <c r="M681" s="180">
        <f t="shared" si="21"/>
        <v>14778578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4127517.4099999992</v>
      </c>
      <c r="D682" s="180">
        <f>(D615/D612)*Q76</f>
        <v>122351.41685820172</v>
      </c>
      <c r="E682" s="180">
        <f>(E623/E612)*SUM(C682:D682)</f>
        <v>475866.65272268944</v>
      </c>
      <c r="F682" s="180">
        <f>(F624/F612)*Q64</f>
        <v>0</v>
      </c>
      <c r="G682" s="180">
        <f>(G625/G612)*Q77</f>
        <v>0</v>
      </c>
      <c r="H682" s="180">
        <f>(H628/H612)*Q60</f>
        <v>136606.80352173359</v>
      </c>
      <c r="I682" s="180">
        <f>(I629/I612)*Q78</f>
        <v>22534.829513113604</v>
      </c>
      <c r="J682" s="180">
        <f>(J630/J612)*Q79</f>
        <v>3037.899427530388</v>
      </c>
      <c r="K682" s="180">
        <f>(K644/K612)*Q75</f>
        <v>356973.40104181535</v>
      </c>
      <c r="L682" s="180">
        <f>(L647/L612)*Q80</f>
        <v>222046.50309574511</v>
      </c>
      <c r="M682" s="180">
        <f t="shared" si="21"/>
        <v>1339418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1"/>
        <v>0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2029196.8950259599</v>
      </c>
      <c r="D684" s="180">
        <f>(D615/D612)*S76</f>
        <v>550680.20576243941</v>
      </c>
      <c r="E684" s="180">
        <f>(E623/E612)*SUM(C684:D684)</f>
        <v>288874.20539416431</v>
      </c>
      <c r="F684" s="180">
        <f>(F624/F612)*S64</f>
        <v>0</v>
      </c>
      <c r="G684" s="180">
        <f>(G625/G612)*S77</f>
        <v>0</v>
      </c>
      <c r="H684" s="180">
        <f>(H628/H612)*S60</f>
        <v>126811.44748713475</v>
      </c>
      <c r="I684" s="180">
        <f>(I629/I612)*S78</f>
        <v>101542.48479402997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1"/>
        <v>1067908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715434.62303999998</v>
      </c>
      <c r="D685" s="180">
        <f>(D615/D612)*T76</f>
        <v>0</v>
      </c>
      <c r="E685" s="180">
        <f>(E623/E612)*SUM(C685:D685)</f>
        <v>80108.702921932141</v>
      </c>
      <c r="F685" s="180">
        <f>(F624/F612)*T64</f>
        <v>0</v>
      </c>
      <c r="G685" s="180">
        <f>(G625/G612)*T77</f>
        <v>0</v>
      </c>
      <c r="H685" s="180">
        <f>(H628/H612)*T60</f>
        <v>11475.931824848622</v>
      </c>
      <c r="I685" s="180">
        <f>(I629/I612)*T78</f>
        <v>0</v>
      </c>
      <c r="J685" s="180">
        <f>(J630/J612)*T79</f>
        <v>0</v>
      </c>
      <c r="K685" s="180">
        <f>(K644/K612)*T75</f>
        <v>62511.434031614219</v>
      </c>
      <c r="L685" s="180">
        <f>(L647/L612)*T80</f>
        <v>22970.327906456387</v>
      </c>
      <c r="M685" s="180">
        <f t="shared" si="21"/>
        <v>177066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5615417.7599999998</v>
      </c>
      <c r="D686" s="180">
        <f>(D615/D612)*U76</f>
        <v>663247.46246800618</v>
      </c>
      <c r="E686" s="180">
        <f>(E623/E612)*SUM(C686:D686)</f>
        <v>703035.20525150071</v>
      </c>
      <c r="F686" s="180">
        <f>(F624/F612)*U64</f>
        <v>0</v>
      </c>
      <c r="G686" s="180">
        <f>(G625/G612)*U77</f>
        <v>0</v>
      </c>
      <c r="H686" s="180">
        <f>(H628/H612)*U60</f>
        <v>124506.65783193502</v>
      </c>
      <c r="I686" s="180">
        <f>(I629/I612)*U78</f>
        <v>122267.28784022681</v>
      </c>
      <c r="J686" s="180">
        <f>(J630/J612)*U79</f>
        <v>0</v>
      </c>
      <c r="K686" s="180">
        <f>(K644/K612)*U75</f>
        <v>879480.35372208012</v>
      </c>
      <c r="L686" s="180">
        <f>(L647/L612)*U80</f>
        <v>0</v>
      </c>
      <c r="M686" s="180">
        <f t="shared" si="21"/>
        <v>2492537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1"/>
        <v>0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16229.560488698049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1"/>
        <v>16230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1456995.9700000002</v>
      </c>
      <c r="D689" s="180">
        <f>(D615/D612)*X76</f>
        <v>77779.131718420642</v>
      </c>
      <c r="E689" s="180">
        <f>(E623/E612)*SUM(C689:D689)</f>
        <v>171851.96063493434</v>
      </c>
      <c r="F689" s="180">
        <f>(F624/F612)*X64</f>
        <v>0</v>
      </c>
      <c r="G689" s="180">
        <f>(G625/G612)*X77</f>
        <v>0</v>
      </c>
      <c r="H689" s="180">
        <f>(H628/H612)*X60</f>
        <v>38701.259626895349</v>
      </c>
      <c r="I689" s="180">
        <f>(I629/I612)*X78</f>
        <v>14344.459750315285</v>
      </c>
      <c r="J689" s="180">
        <f>(J630/J612)*X79</f>
        <v>0</v>
      </c>
      <c r="K689" s="180">
        <f>(K644/K612)*X75</f>
        <v>1574238.2888768599</v>
      </c>
      <c r="L689" s="180">
        <f>(L647/L612)*X80</f>
        <v>0</v>
      </c>
      <c r="M689" s="180">
        <f t="shared" si="21"/>
        <v>1876915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7435543.1299999999</v>
      </c>
      <c r="D690" s="180">
        <f>(D615/D612)*Y76</f>
        <v>2431017.8932779045</v>
      </c>
      <c r="E690" s="180">
        <f>(E623/E612)*SUM(C690:D690)</f>
        <v>1104779.3612732289</v>
      </c>
      <c r="F690" s="180">
        <f>(F624/F612)*Y64</f>
        <v>0</v>
      </c>
      <c r="G690" s="180">
        <f>(G625/G612)*Y77</f>
        <v>0</v>
      </c>
      <c r="H690" s="180">
        <f>(H628/H612)*Y60</f>
        <v>175164.01379517894</v>
      </c>
      <c r="I690" s="180">
        <f>(I629/I612)*Y78</f>
        <v>448162.55320858862</v>
      </c>
      <c r="J690" s="180">
        <f>(J630/J612)*Y79</f>
        <v>20893.655407593753</v>
      </c>
      <c r="K690" s="180">
        <f>(K644/K612)*Y75</f>
        <v>1117355.2545663815</v>
      </c>
      <c r="L690" s="180">
        <f>(L647/L612)*Y80</f>
        <v>0</v>
      </c>
      <c r="M690" s="180">
        <f t="shared" si="21"/>
        <v>5297373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1"/>
        <v>0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1307693.44</v>
      </c>
      <c r="D692" s="180">
        <f>(D615/D612)*AA76</f>
        <v>77877.961618952308</v>
      </c>
      <c r="E692" s="180">
        <f>(E623/E612)*SUM(C692:D692)</f>
        <v>155145.31197522426</v>
      </c>
      <c r="F692" s="180">
        <f>(F624/F612)*AA64</f>
        <v>0</v>
      </c>
      <c r="G692" s="180">
        <f>(G625/G612)*AA77</f>
        <v>0</v>
      </c>
      <c r="H692" s="180">
        <f>(H628/H612)*AA60</f>
        <v>16229.560488698049</v>
      </c>
      <c r="I692" s="180">
        <f>(I629/I612)*AA78</f>
        <v>14344.459750315285</v>
      </c>
      <c r="J692" s="180">
        <f>(J630/J612)*AA79</f>
        <v>0</v>
      </c>
      <c r="K692" s="180">
        <f>(K644/K612)*AA75</f>
        <v>168287.69285131581</v>
      </c>
      <c r="L692" s="180">
        <f>(L647/L612)*AA80</f>
        <v>0</v>
      </c>
      <c r="M692" s="180">
        <f t="shared" si="21"/>
        <v>431885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10447665.34</v>
      </c>
      <c r="D693" s="180">
        <f>(D615/D612)*AB76</f>
        <v>820782.32391548075</v>
      </c>
      <c r="E693" s="180">
        <f>(E623/E612)*SUM(C693:D693)</f>
        <v>1261751.5244988017</v>
      </c>
      <c r="F693" s="180">
        <f>(F624/F612)*AB64</f>
        <v>0</v>
      </c>
      <c r="G693" s="180">
        <f>(G625/G612)*AB77</f>
        <v>0</v>
      </c>
      <c r="H693" s="180">
        <f>(H628/H612)*AB60</f>
        <v>131997.22421133413</v>
      </c>
      <c r="I693" s="180">
        <f>(I629/I612)*AB78</f>
        <v>162902.38202250798</v>
      </c>
      <c r="J693" s="180">
        <f>(J630/J612)*AB79</f>
        <v>0</v>
      </c>
      <c r="K693" s="180">
        <f>(K644/K612)*AB75</f>
        <v>2014623.2298145993</v>
      </c>
      <c r="L693" s="180">
        <f>(L647/L612)*AB80</f>
        <v>0</v>
      </c>
      <c r="M693" s="180">
        <f t="shared" si="21"/>
        <v>4392057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1685918.11</v>
      </c>
      <c r="D694" s="180">
        <f>(D615/D612)*AC76</f>
        <v>117113.43213002344</v>
      </c>
      <c r="E694" s="180">
        <f>(E623/E612)*SUM(C694:D694)</f>
        <v>201889.19226976196</v>
      </c>
      <c r="F694" s="180">
        <f>(F624/F612)*AC64</f>
        <v>0</v>
      </c>
      <c r="G694" s="180">
        <f>(G625/G612)*AC77</f>
        <v>0</v>
      </c>
      <c r="H694" s="180">
        <f>(H628/H612)*AC60</f>
        <v>60116.596839792772</v>
      </c>
      <c r="I694" s="180">
        <f>(I629/I612)*AC78</f>
        <v>21584.565617982305</v>
      </c>
      <c r="J694" s="180">
        <f>(J630/J612)*AC79</f>
        <v>0</v>
      </c>
      <c r="K694" s="180">
        <f>(K644/K612)*AC75</f>
        <v>364390.51297694538</v>
      </c>
      <c r="L694" s="180">
        <f>(L647/L612)*AC80</f>
        <v>0</v>
      </c>
      <c r="M694" s="180">
        <f t="shared" si="21"/>
        <v>765094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502476.93999999994</v>
      </c>
      <c r="D695" s="180">
        <f>(D615/D612)*AD76</f>
        <v>0</v>
      </c>
      <c r="E695" s="180">
        <f>(E623/E612)*SUM(C695:D695)</f>
        <v>56263.388177302375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23619.439414886714</v>
      </c>
      <c r="L695" s="180">
        <f>(L647/L612)*AD80</f>
        <v>0</v>
      </c>
      <c r="M695" s="180">
        <f t="shared" si="21"/>
        <v>79883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2683681.59</v>
      </c>
      <c r="D696" s="180">
        <f>(D615/D612)*AE76</f>
        <v>974180.16572669987</v>
      </c>
      <c r="E696" s="180">
        <f>(E623/E612)*SUM(C696:D696)</f>
        <v>409578.38953039341</v>
      </c>
      <c r="F696" s="180">
        <f>(F624/F612)*AE64</f>
        <v>0</v>
      </c>
      <c r="G696" s="180">
        <f>(G625/G612)*AE77</f>
        <v>0</v>
      </c>
      <c r="H696" s="180">
        <f>(H628/H612)*AE60</f>
        <v>89838.780101639204</v>
      </c>
      <c r="I696" s="180">
        <f>(I629/I612)*AE78</f>
        <v>179599.87617981504</v>
      </c>
      <c r="J696" s="180">
        <f>(J630/J612)*AE79</f>
        <v>0</v>
      </c>
      <c r="K696" s="180">
        <f>(K644/K612)*AE75</f>
        <v>192106.15722678235</v>
      </c>
      <c r="L696" s="180">
        <f>(L647/L612)*AE80</f>
        <v>0</v>
      </c>
      <c r="M696" s="180">
        <f t="shared" si="21"/>
        <v>1845303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15051312.894299999</v>
      </c>
      <c r="D698" s="180">
        <f>(D615/D612)*AG76</f>
        <v>1004803.5987054417</v>
      </c>
      <c r="E698" s="180">
        <f>(E623/E612)*SUM(C698:D698)</f>
        <v>1797836.7621526115</v>
      </c>
      <c r="F698" s="180">
        <f>(F624/F612)*AG64</f>
        <v>0</v>
      </c>
      <c r="G698" s="180">
        <f>(G625/G612)*AG77</f>
        <v>0</v>
      </c>
      <c r="H698" s="180">
        <f>(H628/H612)*AG60</f>
        <v>454379.67723239533</v>
      </c>
      <c r="I698" s="180">
        <f>(I629/I612)*AG78</f>
        <v>185256.20888892989</v>
      </c>
      <c r="J698" s="180">
        <f>(J630/J612)*AG79</f>
        <v>104258.75425434278</v>
      </c>
      <c r="K698" s="180">
        <f>(K644/K612)*AG75</f>
        <v>2476585.6931002494</v>
      </c>
      <c r="L698" s="180">
        <f>(L647/L612)*AG80</f>
        <v>570929.1646314885</v>
      </c>
      <c r="M698" s="180">
        <f t="shared" si="21"/>
        <v>6594050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63934649.649999999</v>
      </c>
      <c r="D701" s="180">
        <f>(D615/D612)*AJ76</f>
        <v>0</v>
      </c>
      <c r="E701" s="180">
        <f>(E623/E612)*SUM(C701:D701)</f>
        <v>7158895.7121848809</v>
      </c>
      <c r="F701" s="180">
        <f>(F624/F612)*AJ64</f>
        <v>0</v>
      </c>
      <c r="G701" s="180">
        <f>(G625/G612)*AJ77</f>
        <v>0</v>
      </c>
      <c r="H701" s="180">
        <f>(H628/H612)*AJ60</f>
        <v>1747414.69025059</v>
      </c>
      <c r="I701" s="180">
        <f>(I629/I612)*AJ78</f>
        <v>0</v>
      </c>
      <c r="J701" s="180">
        <f>(J630/J612)*AJ79</f>
        <v>0</v>
      </c>
      <c r="K701" s="180">
        <f>(K644/K612)*AJ75</f>
        <v>1736439.3627085362</v>
      </c>
      <c r="L701" s="180">
        <f>(L647/L612)*AJ80</f>
        <v>464733.01097700169</v>
      </c>
      <c r="M701" s="180">
        <f t="shared" si="21"/>
        <v>11107483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455890.36</v>
      </c>
      <c r="D702" s="180">
        <f>(D615/D612)*AK76</f>
        <v>325941.01195343235</v>
      </c>
      <c r="E702" s="180">
        <f>(E623/E612)*SUM(C702:D702)</f>
        <v>87543.285010071995</v>
      </c>
      <c r="F702" s="180">
        <f>(F624/F612)*AK64</f>
        <v>0</v>
      </c>
      <c r="G702" s="180">
        <f>(G625/G612)*AK77</f>
        <v>0</v>
      </c>
      <c r="H702" s="180">
        <f>(H628/H612)*AK60</f>
        <v>14837.083405348216</v>
      </c>
      <c r="I702" s="180">
        <f>(I629/I612)*AK78</f>
        <v>60092.878701636277</v>
      </c>
      <c r="J702" s="180">
        <f>(J630/J612)*AK79</f>
        <v>5580.0368281737447</v>
      </c>
      <c r="K702" s="180">
        <f>(K644/K612)*AK75</f>
        <v>35785.39054256861</v>
      </c>
      <c r="L702" s="180">
        <f>(L647/L612)*AK80</f>
        <v>0</v>
      </c>
      <c r="M702" s="180">
        <f t="shared" si="21"/>
        <v>529780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181284.47</v>
      </c>
      <c r="D703" s="180">
        <f>(D615/D612)*AL76</f>
        <v>68192.631366849091</v>
      </c>
      <c r="E703" s="180">
        <f>(E623/E612)*SUM(C703:D703)</f>
        <v>27934.469978963105</v>
      </c>
      <c r="F703" s="180">
        <f>(F624/F612)*AL64</f>
        <v>0</v>
      </c>
      <c r="G703" s="180">
        <f>(G625/G612)*AL77</f>
        <v>0</v>
      </c>
      <c r="H703" s="180">
        <f>(H628/H612)*AL60</f>
        <v>6674.286709849197</v>
      </c>
      <c r="I703" s="180">
        <f>(I629/I612)*AL78</f>
        <v>12579.683945071449</v>
      </c>
      <c r="J703" s="180">
        <f>(J630/J612)*AL79</f>
        <v>0</v>
      </c>
      <c r="K703" s="180">
        <f>(K644/K612)*AL75</f>
        <v>14124.322731703427</v>
      </c>
      <c r="L703" s="180">
        <f>(L647/L612)*AL80</f>
        <v>0</v>
      </c>
      <c r="M703" s="180">
        <f t="shared" si="21"/>
        <v>129505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1"/>
        <v>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2947520.0734399999</v>
      </c>
      <c r="D713" s="180">
        <f>(D615/D612)*AV76</f>
        <v>79360.41012692728</v>
      </c>
      <c r="E713" s="180">
        <f>(E623/E612)*SUM(C713:D713)</f>
        <v>338926.10397847666</v>
      </c>
      <c r="F713" s="180">
        <f>(F624/F612)*AV64</f>
        <v>0</v>
      </c>
      <c r="G713" s="180">
        <f>(G625/G612)*AV77</f>
        <v>0</v>
      </c>
      <c r="H713" s="180">
        <f>(H628/H612)*AV60</f>
        <v>65974.603880092065</v>
      </c>
      <c r="I713" s="180">
        <f>(I629/I612)*AV78</f>
        <v>0</v>
      </c>
      <c r="J713" s="180">
        <f>(J630/J612)*AV79</f>
        <v>3879.2473928678687</v>
      </c>
      <c r="K713" s="180">
        <f>(K644/K612)*AV75</f>
        <v>75593.831039413926</v>
      </c>
      <c r="L713" s="180">
        <f>(L647/L612)*AV80</f>
        <v>2552.2586562729325</v>
      </c>
      <c r="M713" s="180">
        <f t="shared" si="21"/>
        <v>566286</v>
      </c>
      <c r="N713" s="199" t="s">
        <v>741</v>
      </c>
    </row>
    <row r="715" spans="1:83" ht="12.6" customHeight="1" x14ac:dyDescent="0.2">
      <c r="C715" s="180">
        <f>SUM(C614:C647)+SUM(C668:C713)</f>
        <v>274425435.91708505</v>
      </c>
      <c r="D715" s="180">
        <f>SUM(D616:D647)+SUM(D668:D713)</f>
        <v>19657036.942079999</v>
      </c>
      <c r="E715" s="180">
        <f>SUM(E624:E647)+SUM(E668:E713)</f>
        <v>27633775.562784933</v>
      </c>
      <c r="F715" s="180">
        <f>SUM(F625:F648)+SUM(F668:F713)</f>
        <v>0</v>
      </c>
      <c r="G715" s="180">
        <f>SUM(G626:G647)+SUM(G668:G713)</f>
        <v>0</v>
      </c>
      <c r="H715" s="180">
        <f>SUM(H629:H647)+SUM(H668:H713)</f>
        <v>5380435.4171614526</v>
      </c>
      <c r="I715" s="180">
        <f>SUM(I630:I647)+SUM(I668:I713)</f>
        <v>3041704.2269919342</v>
      </c>
      <c r="J715" s="180">
        <f>SUM(J631:J647)+SUM(J668:J713)</f>
        <v>395995.88983254484</v>
      </c>
      <c r="K715" s="180">
        <f>SUM(K668:K713)</f>
        <v>19601252.186939612</v>
      </c>
      <c r="L715" s="180">
        <f>SUM(L668:L713)</f>
        <v>3839040.8901051464</v>
      </c>
      <c r="M715" s="180">
        <f>SUM(M668:M713)</f>
        <v>72265093</v>
      </c>
      <c r="N715" s="198" t="s">
        <v>742</v>
      </c>
    </row>
    <row r="716" spans="1:83" ht="12.6" customHeight="1" x14ac:dyDescent="0.2">
      <c r="C716" s="180">
        <f>CE71</f>
        <v>274425435.91708499</v>
      </c>
      <c r="D716" s="180">
        <f>D615</f>
        <v>19657036.942079999</v>
      </c>
      <c r="E716" s="180">
        <f>E623</f>
        <v>27633775.56278494</v>
      </c>
      <c r="F716" s="180">
        <f>F624</f>
        <v>0</v>
      </c>
      <c r="G716" s="180">
        <f>G625</f>
        <v>0</v>
      </c>
      <c r="H716" s="180">
        <f>H628</f>
        <v>5380435.4171614507</v>
      </c>
      <c r="I716" s="180">
        <f>I629</f>
        <v>3041704.2269919342</v>
      </c>
      <c r="J716" s="180">
        <f>J630</f>
        <v>395995.88983254484</v>
      </c>
      <c r="K716" s="180">
        <f>K644</f>
        <v>19601252.186939612</v>
      </c>
      <c r="L716" s="180">
        <f>L647</f>
        <v>3839040.890105146</v>
      </c>
      <c r="M716" s="180">
        <f>C648</f>
        <v>72265093.615519091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201*2019*A</v>
      </c>
      <c r="B722" s="276">
        <f>ROUND(C165,0)</f>
        <v>7088509</v>
      </c>
      <c r="C722" s="276">
        <f>ROUND(C166,0)</f>
        <v>53028</v>
      </c>
      <c r="D722" s="276">
        <f>ROUND(C167,0)</f>
        <v>650794</v>
      </c>
      <c r="E722" s="276">
        <f>ROUND(C168,0)</f>
        <v>11685072</v>
      </c>
      <c r="F722" s="276">
        <f>ROUND(C169,0)</f>
        <v>84242</v>
      </c>
      <c r="G722" s="276">
        <f>ROUND(C170,0)</f>
        <v>4972882</v>
      </c>
      <c r="H722" s="276">
        <f>ROUND(C171+C172,0)</f>
        <v>731712</v>
      </c>
      <c r="I722" s="276">
        <f>ROUND(C175,0)</f>
        <v>5523952</v>
      </c>
      <c r="J722" s="276">
        <f>ROUND(C176,0)</f>
        <v>916705</v>
      </c>
      <c r="K722" s="276">
        <f>ROUND(C179,0)</f>
        <v>2942782</v>
      </c>
      <c r="L722" s="276">
        <f>ROUND(C180,0)</f>
        <v>136853</v>
      </c>
      <c r="M722" s="276">
        <f>ROUND(C183,0)</f>
        <v>101055</v>
      </c>
      <c r="N722" s="276">
        <f>ROUND(C184,0)</f>
        <v>8567318</v>
      </c>
      <c r="O722" s="276">
        <f>ROUND(C185,0)</f>
        <v>0</v>
      </c>
      <c r="P722" s="276">
        <f>ROUND(C188,0)</f>
        <v>0</v>
      </c>
      <c r="Q722" s="276">
        <f>ROUND(C189,0)</f>
        <v>78330</v>
      </c>
      <c r="R722" s="276">
        <f>ROUND(B195,0)</f>
        <v>7206097</v>
      </c>
      <c r="S722" s="276">
        <f>ROUND(C195,0)</f>
        <v>0</v>
      </c>
      <c r="T722" s="276">
        <f>ROUND(D195,0)</f>
        <v>0</v>
      </c>
      <c r="U722" s="276">
        <f>ROUND(B196,0)</f>
        <v>2932921</v>
      </c>
      <c r="V722" s="276">
        <f>ROUND(C196,0)</f>
        <v>0</v>
      </c>
      <c r="W722" s="276">
        <f>ROUND(D196,0)</f>
        <v>0</v>
      </c>
      <c r="X722" s="276">
        <f>ROUND(B197,0)</f>
        <v>61706741</v>
      </c>
      <c r="Y722" s="276">
        <f>ROUND(C197,0)</f>
        <v>1230712</v>
      </c>
      <c r="Z722" s="276">
        <f>ROUND(D197,0)</f>
        <v>509271</v>
      </c>
      <c r="AA722" s="276">
        <f>ROUND(B198,0)</f>
        <v>0</v>
      </c>
      <c r="AB722" s="276">
        <f>ROUND(C198,0)</f>
        <v>2991176</v>
      </c>
      <c r="AC722" s="276">
        <f>ROUND(D198,0)</f>
        <v>0</v>
      </c>
      <c r="AD722" s="276">
        <f>ROUND(B199,0)</f>
        <v>18674141</v>
      </c>
      <c r="AE722" s="276">
        <f>ROUND(C199,0)</f>
        <v>16985</v>
      </c>
      <c r="AF722" s="276">
        <f>ROUND(D199,0)</f>
        <v>0</v>
      </c>
      <c r="AG722" s="276">
        <f>ROUND(B200,0)</f>
        <v>110059142</v>
      </c>
      <c r="AH722" s="276">
        <f>ROUND(C200,0)</f>
        <v>4319497</v>
      </c>
      <c r="AI722" s="276">
        <f>ROUND(D200,0)</f>
        <v>292500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14402730</v>
      </c>
      <c r="AN722" s="276">
        <f>ROUND(C202,0)</f>
        <v>410915</v>
      </c>
      <c r="AO722" s="276">
        <f>ROUND(D202,0)</f>
        <v>7624</v>
      </c>
      <c r="AP722" s="276">
        <f>ROUND(B203,0)</f>
        <v>6640827</v>
      </c>
      <c r="AQ722" s="276">
        <f>ROUND(C203,0)</f>
        <v>-4409165</v>
      </c>
      <c r="AR722" s="276">
        <f>ROUND(D203,0)</f>
        <v>0</v>
      </c>
      <c r="AS722" s="276"/>
      <c r="AT722" s="276"/>
      <c r="AU722" s="276"/>
      <c r="AV722" s="276">
        <f>ROUND(B209,0)</f>
        <v>2042641</v>
      </c>
      <c r="AW722" s="276">
        <f>ROUND(C209,0)</f>
        <v>111265</v>
      </c>
      <c r="AX722" s="276">
        <f>ROUND(D209,0)</f>
        <v>0</v>
      </c>
      <c r="AY722" s="276">
        <f>ROUND(B210,0)</f>
        <v>19256001</v>
      </c>
      <c r="AZ722" s="276">
        <f>ROUND(C210,0)</f>
        <v>2262795</v>
      </c>
      <c r="BA722" s="276">
        <f>ROUND(D210,0)</f>
        <v>9259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15806581</v>
      </c>
      <c r="BF722" s="276">
        <f>ROUND(C212,0)</f>
        <v>571997</v>
      </c>
      <c r="BG722" s="276">
        <f>ROUND(D212,0)</f>
        <v>0</v>
      </c>
      <c r="BH722" s="276">
        <f>ROUND(B213,0)</f>
        <v>74319799</v>
      </c>
      <c r="BI722" s="276">
        <f>ROUND(C213,0)</f>
        <v>9554378</v>
      </c>
      <c r="BJ722" s="276">
        <f>ROUND(D213,0)</f>
        <v>-40850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7467721</v>
      </c>
      <c r="BO722" s="276">
        <f>ROUND(C215,0)</f>
        <v>1270953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478821549</v>
      </c>
      <c r="BU722" s="276">
        <f>ROUND(C224,0)</f>
        <v>275002957</v>
      </c>
      <c r="BV722" s="276">
        <f>ROUND(C225,0)</f>
        <v>0</v>
      </c>
      <c r="BW722" s="276">
        <f>ROUND(C226,0)</f>
        <v>37403765</v>
      </c>
      <c r="BX722" s="276">
        <f>ROUND(C227,0)</f>
        <v>272109666</v>
      </c>
      <c r="BY722" s="276">
        <f>ROUND(C228,0)</f>
        <v>0</v>
      </c>
      <c r="BZ722" s="276">
        <f>ROUND(C231,0)</f>
        <v>7927</v>
      </c>
      <c r="CA722" s="276">
        <f>ROUND(C233,0)</f>
        <v>3895739</v>
      </c>
      <c r="CB722" s="276">
        <f>ROUND(C234,0)</f>
        <v>15253098</v>
      </c>
      <c r="CC722" s="276">
        <f>ROUND(C238+C239,0)</f>
        <v>19040780</v>
      </c>
      <c r="CD722" s="276">
        <f>D221</f>
        <v>13143306.140000001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201*2019*A</v>
      </c>
      <c r="B726" s="276">
        <f>ROUND(C111,0)</f>
        <v>7805</v>
      </c>
      <c r="C726" s="276">
        <f>ROUND(C112,0)</f>
        <v>0</v>
      </c>
      <c r="D726" s="276">
        <f>ROUND(C113,0)</f>
        <v>0</v>
      </c>
      <c r="E726" s="276">
        <f>ROUND(C114,0)</f>
        <v>1288</v>
      </c>
      <c r="F726" s="276">
        <f>ROUND(D111,0)</f>
        <v>32492</v>
      </c>
      <c r="G726" s="276">
        <f>ROUND(D112,0)</f>
        <v>0</v>
      </c>
      <c r="H726" s="276">
        <f>ROUND(D113,0)</f>
        <v>0</v>
      </c>
      <c r="I726" s="276">
        <f>ROUND(D114,0)</f>
        <v>2112</v>
      </c>
      <c r="J726" s="276">
        <f>ROUND(C116,0)</f>
        <v>14</v>
      </c>
      <c r="K726" s="276">
        <f>ROUND(C117,0)</f>
        <v>16</v>
      </c>
      <c r="L726" s="276">
        <f>ROUND(C118,0)</f>
        <v>72</v>
      </c>
      <c r="M726" s="276">
        <f>ROUND(C119,0)</f>
        <v>0</v>
      </c>
      <c r="N726" s="276">
        <f>ROUND(C120,0)</f>
        <v>16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6</v>
      </c>
      <c r="V726" s="276">
        <f>ROUND(C128,0)</f>
        <v>124</v>
      </c>
      <c r="W726" s="276">
        <f>ROUND(C129,0)</f>
        <v>18</v>
      </c>
      <c r="X726" s="276">
        <f>ROUND(B138,0)</f>
        <v>3519</v>
      </c>
      <c r="Y726" s="276">
        <f>ROUND(B139,0)</f>
        <v>18184</v>
      </c>
      <c r="Z726" s="276">
        <f>ROUND(B140,0)</f>
        <v>0</v>
      </c>
      <c r="AA726" s="276">
        <f>ROUND(B141,0)</f>
        <v>269845161</v>
      </c>
      <c r="AB726" s="276">
        <f>ROUND(B142,0)</f>
        <v>297443742</v>
      </c>
      <c r="AC726" s="276">
        <f>ROUND(C138,0)</f>
        <v>2012</v>
      </c>
      <c r="AD726" s="276">
        <f>ROUND(C139,0)</f>
        <v>7687</v>
      </c>
      <c r="AE726" s="276">
        <f>ROUND(C140,0)</f>
        <v>0</v>
      </c>
      <c r="AF726" s="276">
        <f>ROUND(C141,0)</f>
        <v>123747572</v>
      </c>
      <c r="AG726" s="276">
        <f>ROUND(C142,0)</f>
        <v>194613438</v>
      </c>
      <c r="AH726" s="276">
        <f>ROUND(D138,0)</f>
        <v>2274</v>
      </c>
      <c r="AI726" s="276">
        <f>ROUND(D139,0)</f>
        <v>6621</v>
      </c>
      <c r="AJ726" s="276">
        <f>ROUND(D140,0)</f>
        <v>0</v>
      </c>
      <c r="AK726" s="276">
        <f>ROUND(D141,0)</f>
        <v>184492815</v>
      </c>
      <c r="AL726" s="276">
        <f>ROUND(D142,0)</f>
        <v>343117437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201*2019*A</v>
      </c>
      <c r="B730" s="276">
        <f>ROUND(C250,0)</f>
        <v>1678075</v>
      </c>
      <c r="C730" s="276">
        <f>ROUND(C251,0)</f>
        <v>0</v>
      </c>
      <c r="D730" s="276">
        <f>ROUND(C252,0)</f>
        <v>173512704</v>
      </c>
      <c r="E730" s="276">
        <f>ROUND(C253,0)</f>
        <v>136271005</v>
      </c>
      <c r="F730" s="276">
        <f>ROUND(C254,0)</f>
        <v>0</v>
      </c>
      <c r="G730" s="276">
        <f>ROUND(C255,0)</f>
        <v>1833271</v>
      </c>
      <c r="H730" s="276">
        <f>ROUND(C256,0)</f>
        <v>0</v>
      </c>
      <c r="I730" s="276">
        <f>ROUND(C257,0)</f>
        <v>5873611</v>
      </c>
      <c r="J730" s="276">
        <f>ROUND(C258,0)</f>
        <v>485216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7206097</v>
      </c>
      <c r="P730" s="276">
        <f>ROUND(C268,0)</f>
        <v>2932921</v>
      </c>
      <c r="Q730" s="276">
        <f>ROUND(C269,0)</f>
        <v>62428182</v>
      </c>
      <c r="R730" s="276">
        <f>ROUND(C270,0)</f>
        <v>2991176</v>
      </c>
      <c r="S730" s="276">
        <f>ROUND(C271,0)</f>
        <v>18691126</v>
      </c>
      <c r="T730" s="276">
        <f>ROUND(C272,0)</f>
        <v>114086139</v>
      </c>
      <c r="U730" s="276">
        <f>ROUND(C273,0)</f>
        <v>14806021</v>
      </c>
      <c r="V730" s="276">
        <f>ROUND(C274,0)</f>
        <v>2231661</v>
      </c>
      <c r="W730" s="276">
        <f>ROUND(C275,0)</f>
        <v>0</v>
      </c>
      <c r="X730" s="276">
        <f>ROUND(C276,0)</f>
        <v>132695721</v>
      </c>
      <c r="Y730" s="276">
        <f>ROUND(C279,0)</f>
        <v>0</v>
      </c>
      <c r="Z730" s="276">
        <f>ROUND(C280,0)</f>
        <v>0</v>
      </c>
      <c r="AA730" s="276">
        <f>ROUND(C281,0)</f>
        <v>41319392</v>
      </c>
      <c r="AB730" s="276">
        <f>ROUND(C282,0)</f>
        <v>3898895</v>
      </c>
      <c r="AC730" s="276">
        <f>ROUND(C286,0)</f>
        <v>10553320</v>
      </c>
      <c r="AD730" s="276">
        <f>ROUND(C287,0)</f>
        <v>0</v>
      </c>
      <c r="AE730" s="276">
        <f>ROUND(C288,0)</f>
        <v>0</v>
      </c>
      <c r="AF730" s="276">
        <f>ROUND(C289,0)</f>
        <v>4140071</v>
      </c>
      <c r="AG730" s="276">
        <f>ROUND(C304,0)</f>
        <v>0</v>
      </c>
      <c r="AH730" s="276">
        <f>ROUND(C305,0)</f>
        <v>1790631</v>
      </c>
      <c r="AI730" s="276">
        <f>ROUND(C306,0)</f>
        <v>10349931</v>
      </c>
      <c r="AJ730" s="276">
        <f>ROUND(C307,0)</f>
        <v>13595329</v>
      </c>
      <c r="AK730" s="276">
        <f>ROUND(C308,0)</f>
        <v>0</v>
      </c>
      <c r="AL730" s="276">
        <f>ROUND(C309,0)</f>
        <v>1719389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1309345</v>
      </c>
      <c r="AQ730" s="276">
        <f>ROUND(C316,0)</f>
        <v>0</v>
      </c>
      <c r="AR730" s="276">
        <f>ROUND(C317,0)</f>
        <v>0</v>
      </c>
      <c r="AS730" s="276">
        <f>ROUND(C318,0)</f>
        <v>3522239</v>
      </c>
      <c r="AT730" s="276">
        <f>ROUND(C321,0)</f>
        <v>0</v>
      </c>
      <c r="AU730" s="276">
        <f>ROUND(C322,0)</f>
        <v>0</v>
      </c>
      <c r="AV730" s="276">
        <f>ROUND(C323,0)</f>
        <v>526969</v>
      </c>
      <c r="AW730" s="276">
        <f>ROUND(C324,0)</f>
        <v>3274897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164921768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1188.72</v>
      </c>
      <c r="BJ730" s="276">
        <f>ROUND(C359,0)</f>
        <v>578085548</v>
      </c>
      <c r="BK730" s="276">
        <f>ROUND(C360,0)</f>
        <v>835174617</v>
      </c>
      <c r="BL730" s="276">
        <f>ROUND(C364,0)</f>
        <v>1063337937</v>
      </c>
      <c r="BM730" s="276">
        <f>ROUND(C365,0)</f>
        <v>19148837</v>
      </c>
      <c r="BN730" s="276">
        <f>ROUND(C366,0)</f>
        <v>19040780</v>
      </c>
      <c r="BO730" s="276">
        <f>ROUND(C370,0)</f>
        <v>5785672</v>
      </c>
      <c r="BP730" s="276">
        <f>ROUND(C371,0)</f>
        <v>0</v>
      </c>
      <c r="BQ730" s="276">
        <f>ROUND(C378,0)</f>
        <v>110178102</v>
      </c>
      <c r="BR730" s="276">
        <f>ROUND(C379,0)</f>
        <v>25266238</v>
      </c>
      <c r="BS730" s="276">
        <f>ROUND(C380,0)</f>
        <v>10887903</v>
      </c>
      <c r="BT730" s="276">
        <f>ROUND(C381,0)</f>
        <v>37188888</v>
      </c>
      <c r="BU730" s="276">
        <f>ROUND(C382,0)</f>
        <v>1392544</v>
      </c>
      <c r="BV730" s="276">
        <f>ROUND(C383,0)</f>
        <v>58586439</v>
      </c>
      <c r="BW730" s="276">
        <f>ROUND(C384,0)</f>
        <v>13771388</v>
      </c>
      <c r="BX730" s="276">
        <f>ROUND(C385,0)</f>
        <v>6440657</v>
      </c>
      <c r="BY730" s="276">
        <f>ROUND(C386,0)</f>
        <v>3079635</v>
      </c>
      <c r="BZ730" s="276">
        <f>ROUND(C387,0)</f>
        <v>8668373</v>
      </c>
      <c r="CA730" s="276">
        <f>ROUND(C388,0)</f>
        <v>78330</v>
      </c>
      <c r="CB730" s="276">
        <f>C363</f>
        <v>13143306.140000001</v>
      </c>
      <c r="CC730" s="276">
        <f>ROUND(C389,0)</f>
        <v>4672616</v>
      </c>
      <c r="CD730" s="276">
        <f>ROUND(C392,0)</f>
        <v>732859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201*2019*6010*A</v>
      </c>
      <c r="B734" s="276">
        <f>ROUND(C59,0)</f>
        <v>4163</v>
      </c>
      <c r="C734" s="276">
        <f>ROUND(C60,2)</f>
        <v>45.15</v>
      </c>
      <c r="D734" s="276">
        <f>ROUND(C61,0)</f>
        <v>4361907</v>
      </c>
      <c r="E734" s="276">
        <f>ROUND(C62,0)</f>
        <v>1063434</v>
      </c>
      <c r="F734" s="276">
        <f>ROUND(C63,0)</f>
        <v>1426711</v>
      </c>
      <c r="G734" s="276">
        <f>ROUND(C64,0)</f>
        <v>570195</v>
      </c>
      <c r="H734" s="276">
        <f>ROUND(C65,0)</f>
        <v>501</v>
      </c>
      <c r="I734" s="276">
        <f>ROUND(C66,0)</f>
        <v>15544</v>
      </c>
      <c r="J734" s="276">
        <f>ROUND(C67,0)</f>
        <v>364079</v>
      </c>
      <c r="K734" s="276">
        <f>ROUND(C68,0)</f>
        <v>1898</v>
      </c>
      <c r="L734" s="276">
        <f>ROUND(C69,0)</f>
        <v>66526</v>
      </c>
      <c r="M734" s="276">
        <f>ROUND(C70,0)</f>
        <v>0</v>
      </c>
      <c r="N734" s="276">
        <f>ROUND(C75,0)</f>
        <v>25721807</v>
      </c>
      <c r="O734" s="276">
        <f>ROUND(C73,0)</f>
        <v>25635403</v>
      </c>
      <c r="P734" s="276">
        <f>IF(C76&gt;0,ROUND(C76,0),0)</f>
        <v>11112</v>
      </c>
      <c r="Q734" s="276">
        <f>IF(C77&gt;0,ROUND(C77,0),0)</f>
        <v>6730</v>
      </c>
      <c r="R734" s="276">
        <f>IF(C78&gt;0,ROUND(C78,0),0)</f>
        <v>4474</v>
      </c>
      <c r="S734" s="276">
        <f>IF(C79&gt;0,ROUND(C79,0),0)</f>
        <v>0</v>
      </c>
      <c r="T734" s="276">
        <f>IF(C80&gt;0,ROUND(C80,2),0)</f>
        <v>33.18</v>
      </c>
      <c r="U734" s="276"/>
      <c r="V734" s="276"/>
      <c r="W734" s="276"/>
      <c r="X734" s="276"/>
      <c r="Y734" s="276">
        <f>IF(M668&lt;&gt;0,ROUND(M668,0),0)</f>
        <v>3246661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201*2019*6030*A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2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201*2019*6070*A</v>
      </c>
      <c r="B736" s="276">
        <f>ROUND(E59,0)</f>
        <v>28329</v>
      </c>
      <c r="C736" s="278">
        <f>ROUND(E60,2)</f>
        <v>191.23</v>
      </c>
      <c r="D736" s="276">
        <f>ROUND(E61,0)</f>
        <v>15635320</v>
      </c>
      <c r="E736" s="276">
        <f>ROUND(E62,0)</f>
        <v>4161219</v>
      </c>
      <c r="F736" s="276">
        <f>ROUND(E63,0)</f>
        <v>46500</v>
      </c>
      <c r="G736" s="276">
        <f>ROUND(E64,0)</f>
        <v>1150734</v>
      </c>
      <c r="H736" s="276">
        <f>ROUND(E65,0)</f>
        <v>3441</v>
      </c>
      <c r="I736" s="276">
        <f>ROUND(E66,0)</f>
        <v>1036022</v>
      </c>
      <c r="J736" s="276">
        <f>ROUND(E67,0)</f>
        <v>876599</v>
      </c>
      <c r="K736" s="276">
        <f>ROUND(E68,0)</f>
        <v>25264</v>
      </c>
      <c r="L736" s="276">
        <f>ROUND(E69,0)</f>
        <v>94001</v>
      </c>
      <c r="M736" s="276">
        <f>ROUND(E70,0)</f>
        <v>28500</v>
      </c>
      <c r="N736" s="276">
        <f>ROUND(E75,0)</f>
        <v>109303366</v>
      </c>
      <c r="O736" s="276">
        <f>ROUND(E73,0)</f>
        <v>89284675</v>
      </c>
      <c r="P736" s="276">
        <f>IF(E76&gt;0,ROUND(E76,0),0)</f>
        <v>48911</v>
      </c>
      <c r="Q736" s="276">
        <f>IF(E77&gt;0,ROUND(E77,0),0)</f>
        <v>90262</v>
      </c>
      <c r="R736" s="276">
        <f>IF(E78&gt;0,ROUND(E78,0),0)</f>
        <v>19694</v>
      </c>
      <c r="S736" s="276">
        <f>IF(E79&gt;0,ROUND(E79,0),0)</f>
        <v>287561</v>
      </c>
      <c r="T736" s="278">
        <f>IF(E80&gt;0,ROUND(E80,2),0)</f>
        <v>115.54</v>
      </c>
      <c r="U736" s="276"/>
      <c r="V736" s="277"/>
      <c r="W736" s="276"/>
      <c r="X736" s="276"/>
      <c r="Y736" s="276">
        <f t="shared" si="22"/>
        <v>12662055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201*2019*6100*A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2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201*2019*6120*A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55580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2"/>
        <v>6223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201*2019*6140*A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2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201*2019*6150*A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2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201*2019*6170*A</v>
      </c>
      <c r="B741" s="276">
        <f>ROUND(J59,0)</f>
        <v>2112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2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201*2019*6200*A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2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201*2019*6210*A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2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201*2019*6330*A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2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201*2019*6400*A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2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201*2019*7010*A</v>
      </c>
      <c r="B746" s="276">
        <f>ROUND(O59,0)</f>
        <v>5649</v>
      </c>
      <c r="C746" s="278">
        <f>ROUND(O60,2)</f>
        <v>56.39</v>
      </c>
      <c r="D746" s="276">
        <f>ROUND(O61,0)</f>
        <v>5847751</v>
      </c>
      <c r="E746" s="276">
        <f>ROUND(O62,0)</f>
        <v>1370660</v>
      </c>
      <c r="F746" s="276">
        <f>ROUND(O63,0)</f>
        <v>434928</v>
      </c>
      <c r="G746" s="276">
        <f>ROUND(O64,0)</f>
        <v>499661</v>
      </c>
      <c r="H746" s="276">
        <f>ROUND(O65,0)</f>
        <v>1842</v>
      </c>
      <c r="I746" s="276">
        <f>ROUND(O66,0)</f>
        <v>257868</v>
      </c>
      <c r="J746" s="276">
        <f>ROUND(O67,0)</f>
        <v>241162</v>
      </c>
      <c r="K746" s="276">
        <f>ROUND(O68,0)</f>
        <v>6081</v>
      </c>
      <c r="L746" s="276">
        <f>ROUND(O69,0)</f>
        <v>127641</v>
      </c>
      <c r="M746" s="276">
        <f>ROUND(O70,0)</f>
        <v>4362</v>
      </c>
      <c r="N746" s="276">
        <f>ROUND(O75,0)</f>
        <v>44408910</v>
      </c>
      <c r="O746" s="276">
        <f>ROUND(O73,0)</f>
        <v>41874912</v>
      </c>
      <c r="P746" s="276">
        <f>IF(O76&gt;0,ROUND(O76,0),0)</f>
        <v>4254</v>
      </c>
      <c r="Q746" s="276">
        <f>IF(O77&gt;0,ROUND(O77,0),0)</f>
        <v>6893</v>
      </c>
      <c r="R746" s="276">
        <f>IF(O78&gt;0,ROUND(O78,0),0)</f>
        <v>1713</v>
      </c>
      <c r="S746" s="276">
        <f>IF(O79&gt;0,ROUND(O79,0),0)</f>
        <v>122284</v>
      </c>
      <c r="T746" s="278">
        <f>IF(O80&gt;0,ROUND(O80,2),0)</f>
        <v>36.35</v>
      </c>
      <c r="U746" s="276"/>
      <c r="V746" s="277"/>
      <c r="W746" s="276"/>
      <c r="X746" s="276"/>
      <c r="Y746" s="276">
        <f t="shared" si="22"/>
        <v>2862803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201*2019*7020*A</v>
      </c>
      <c r="B747" s="276">
        <f>ROUND(P59,0)</f>
        <v>647410</v>
      </c>
      <c r="C747" s="278">
        <f>ROUND(P60,2)</f>
        <v>96.6</v>
      </c>
      <c r="D747" s="276">
        <f>ROUND(P61,0)</f>
        <v>8626997</v>
      </c>
      <c r="E747" s="276">
        <f>ROUND(P62,0)</f>
        <v>2103162</v>
      </c>
      <c r="F747" s="276">
        <f>ROUND(P63,0)</f>
        <v>2974576</v>
      </c>
      <c r="G747" s="276">
        <f>ROUND(P64,0)</f>
        <v>19428656</v>
      </c>
      <c r="H747" s="276">
        <f>ROUND(P65,0)</f>
        <v>18705</v>
      </c>
      <c r="I747" s="276">
        <f>ROUND(P66,0)</f>
        <v>2240044</v>
      </c>
      <c r="J747" s="276">
        <f>ROUND(P67,0)</f>
        <v>5590461</v>
      </c>
      <c r="K747" s="276">
        <f>ROUND(P68,0)</f>
        <v>823801</v>
      </c>
      <c r="L747" s="276">
        <f>ROUND(P69,0)</f>
        <v>69545</v>
      </c>
      <c r="M747" s="276">
        <f>ROUND(P70,0)</f>
        <v>4010</v>
      </c>
      <c r="N747" s="276">
        <f>ROUND(P75,0)</f>
        <v>434079043</v>
      </c>
      <c r="O747" s="276">
        <f>ROUND(P73,0)</f>
        <v>177401440</v>
      </c>
      <c r="P747" s="276">
        <f>IF(P76&gt;0,ROUND(P76,0),0)</f>
        <v>23570</v>
      </c>
      <c r="Q747" s="276">
        <f>IF(P77&gt;0,ROUND(P77,0),0)</f>
        <v>25164</v>
      </c>
      <c r="R747" s="276">
        <f>IF(P78&gt;0,ROUND(P78,0),0)</f>
        <v>8914</v>
      </c>
      <c r="S747" s="276">
        <f>IF(P79&gt;0,ROUND(P79,0),0)</f>
        <v>304075</v>
      </c>
      <c r="T747" s="278">
        <f>IF(P80&gt;0,ROUND(P80,2),0)</f>
        <v>45.25</v>
      </c>
      <c r="U747" s="276"/>
      <c r="V747" s="277"/>
      <c r="W747" s="276"/>
      <c r="X747" s="276"/>
      <c r="Y747" s="276">
        <f t="shared" si="22"/>
        <v>14778578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201*2019*7030*A</v>
      </c>
      <c r="B748" s="276">
        <f>ROUND(Q59,0)</f>
        <v>19094</v>
      </c>
      <c r="C748" s="278">
        <f>ROUND(Q60,2)</f>
        <v>28.45</v>
      </c>
      <c r="D748" s="276">
        <f>ROUND(Q61,0)</f>
        <v>3136238</v>
      </c>
      <c r="E748" s="276">
        <f>ROUND(Q62,0)</f>
        <v>687475</v>
      </c>
      <c r="F748" s="276">
        <f>ROUND(Q63,0)</f>
        <v>0</v>
      </c>
      <c r="G748" s="276">
        <f>ROUND(Q64,0)</f>
        <v>240052</v>
      </c>
      <c r="H748" s="276">
        <f>ROUND(Q65,0)</f>
        <v>1072</v>
      </c>
      <c r="I748" s="276">
        <f>ROUND(Q66,0)</f>
        <v>33263</v>
      </c>
      <c r="J748" s="276">
        <f>ROUND(Q67,0)</f>
        <v>20479</v>
      </c>
      <c r="K748" s="276">
        <f>ROUND(Q68,0)</f>
        <v>1284</v>
      </c>
      <c r="L748" s="276">
        <f>ROUND(Q69,0)</f>
        <v>7655</v>
      </c>
      <c r="M748" s="276">
        <f>ROUND(Q70,0)</f>
        <v>0</v>
      </c>
      <c r="N748" s="276">
        <f>ROUND(Q75,0)</f>
        <v>25737962</v>
      </c>
      <c r="O748" s="276">
        <f>ROUND(Q73,0)</f>
        <v>9099091</v>
      </c>
      <c r="P748" s="276">
        <f>IF(Q76&gt;0,ROUND(Q76,0),0)</f>
        <v>1238</v>
      </c>
      <c r="Q748" s="276">
        <f>IF(Q77&gt;0,ROUND(Q77,0),0)</f>
        <v>0</v>
      </c>
      <c r="R748" s="276">
        <f>IF(Q78&gt;0,ROUND(Q78,0),0)</f>
        <v>498</v>
      </c>
      <c r="S748" s="276">
        <f>IF(Q79&gt;0,ROUND(Q79,0),0)</f>
        <v>8395</v>
      </c>
      <c r="T748" s="278">
        <f>IF(Q80&gt;0,ROUND(Q80,2),0)</f>
        <v>20.010000000000002</v>
      </c>
      <c r="U748" s="276"/>
      <c r="V748" s="277"/>
      <c r="W748" s="276"/>
      <c r="X748" s="276"/>
      <c r="Y748" s="276">
        <f t="shared" si="22"/>
        <v>1339418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201*2019*7040*A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2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201*2019*7050*A</v>
      </c>
      <c r="B750" s="276"/>
      <c r="C750" s="278">
        <f>ROUND(S60,2)</f>
        <v>26.41</v>
      </c>
      <c r="D750" s="276">
        <f>ROUND(S61,0)</f>
        <v>1315115</v>
      </c>
      <c r="E750" s="276">
        <f>ROUND(S62,0)</f>
        <v>469010</v>
      </c>
      <c r="F750" s="276">
        <f>ROUND(S63,0)</f>
        <v>0</v>
      </c>
      <c r="G750" s="276">
        <f>ROUND(S64,0)</f>
        <v>-252873</v>
      </c>
      <c r="H750" s="276">
        <f>ROUND(S65,0)</f>
        <v>0</v>
      </c>
      <c r="I750" s="276">
        <f>ROUND(S66,0)</f>
        <v>296490</v>
      </c>
      <c r="J750" s="276">
        <f>ROUND(S67,0)</f>
        <v>156480</v>
      </c>
      <c r="K750" s="276">
        <f>ROUND(S68,0)</f>
        <v>5220</v>
      </c>
      <c r="L750" s="276">
        <f>ROUND(S69,0)</f>
        <v>39756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5572</v>
      </c>
      <c r="Q750" s="276">
        <f>IF(S77&gt;0,ROUND(S77,0),0)</f>
        <v>0</v>
      </c>
      <c r="R750" s="276">
        <f>IF(S78&gt;0,ROUND(S78,0),0)</f>
        <v>2244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2"/>
        <v>1067908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201*2019*7060*A</v>
      </c>
      <c r="B751" s="276"/>
      <c r="C751" s="278">
        <f>ROUND(T60,2)</f>
        <v>2.39</v>
      </c>
      <c r="D751" s="276">
        <f>ROUND(T61,0)</f>
        <v>268874</v>
      </c>
      <c r="E751" s="276">
        <f>ROUND(T62,0)</f>
        <v>61802</v>
      </c>
      <c r="F751" s="276">
        <f>ROUND(T63,0)</f>
        <v>0</v>
      </c>
      <c r="G751" s="276">
        <f>ROUND(T64,0)</f>
        <v>276536</v>
      </c>
      <c r="H751" s="276">
        <f>ROUND(T65,0)</f>
        <v>0</v>
      </c>
      <c r="I751" s="276">
        <f>ROUND(T66,0)</f>
        <v>100048</v>
      </c>
      <c r="J751" s="276">
        <f>ROUND(T67,0)</f>
        <v>7650</v>
      </c>
      <c r="K751" s="276">
        <f>ROUND(T68,0)</f>
        <v>0</v>
      </c>
      <c r="L751" s="276">
        <f>ROUND(T69,0)</f>
        <v>525</v>
      </c>
      <c r="M751" s="276">
        <f>ROUND(T70,0)</f>
        <v>0</v>
      </c>
      <c r="N751" s="276">
        <f>ROUND(T75,0)</f>
        <v>4507106</v>
      </c>
      <c r="O751" s="276">
        <f>ROUND(T73,0)</f>
        <v>4229902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2.0699999999999998</v>
      </c>
      <c r="U751" s="276"/>
      <c r="V751" s="277"/>
      <c r="W751" s="276"/>
      <c r="X751" s="276"/>
      <c r="Y751" s="276">
        <f t="shared" si="22"/>
        <v>177066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201*2019*7070*A</v>
      </c>
      <c r="B752" s="276">
        <f>ROUND(U59,0)</f>
        <v>457730</v>
      </c>
      <c r="C752" s="278">
        <f>ROUND(U60,2)</f>
        <v>25.93</v>
      </c>
      <c r="D752" s="276">
        <f>ROUND(U61,0)</f>
        <v>1738897</v>
      </c>
      <c r="E752" s="276">
        <f>ROUND(U62,0)</f>
        <v>520410</v>
      </c>
      <c r="F752" s="276">
        <f>ROUND(U63,0)</f>
        <v>35086</v>
      </c>
      <c r="G752" s="276">
        <f>ROUND(U64,0)</f>
        <v>1748711</v>
      </c>
      <c r="H752" s="276">
        <f>ROUND(U65,0)</f>
        <v>97</v>
      </c>
      <c r="I752" s="276">
        <f>ROUND(U66,0)</f>
        <v>1202391</v>
      </c>
      <c r="J752" s="276">
        <f>ROUND(U67,0)</f>
        <v>209363</v>
      </c>
      <c r="K752" s="276">
        <f>ROUND(U68,0)</f>
        <v>187358</v>
      </c>
      <c r="L752" s="276">
        <f>ROUND(U69,0)</f>
        <v>102485</v>
      </c>
      <c r="M752" s="276">
        <f>ROUND(U70,0)</f>
        <v>129381</v>
      </c>
      <c r="N752" s="276">
        <f>ROUND(U75,0)</f>
        <v>63410977</v>
      </c>
      <c r="O752" s="276">
        <f>ROUND(U73,0)</f>
        <v>32642817</v>
      </c>
      <c r="P752" s="276">
        <f>IF(U76&gt;0,ROUND(U76,0),0)</f>
        <v>6711</v>
      </c>
      <c r="Q752" s="276">
        <f>IF(U77&gt;0,ROUND(U77,0),0)</f>
        <v>0</v>
      </c>
      <c r="R752" s="276">
        <f>IF(U78&gt;0,ROUND(U78,0),0)</f>
        <v>2702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2"/>
        <v>2492537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201*2019*7110*A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2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201*2019*7120*A</v>
      </c>
      <c r="B754" s="276">
        <f>ROUND(W59,0)</f>
        <v>0</v>
      </c>
      <c r="C754" s="278">
        <f>ROUND(W60,2)</f>
        <v>3.38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2"/>
        <v>16230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201*2019*7130*A</v>
      </c>
      <c r="B755" s="276">
        <f>ROUND(X59,0)</f>
        <v>21858</v>
      </c>
      <c r="C755" s="278">
        <f>ROUND(X60,2)</f>
        <v>8.06</v>
      </c>
      <c r="D755" s="276">
        <f>ROUND(X61,0)</f>
        <v>817014</v>
      </c>
      <c r="E755" s="276">
        <f>ROUND(X62,0)</f>
        <v>196689</v>
      </c>
      <c r="F755" s="276">
        <f>ROUND(X63,0)</f>
        <v>0</v>
      </c>
      <c r="G755" s="276">
        <f>ROUND(X64,0)</f>
        <v>209116</v>
      </c>
      <c r="H755" s="276">
        <f>ROUND(X65,0)</f>
        <v>97</v>
      </c>
      <c r="I755" s="276">
        <f>ROUND(X66,0)</f>
        <v>79833</v>
      </c>
      <c r="J755" s="276">
        <f>ROUND(X67,0)</f>
        <v>153988</v>
      </c>
      <c r="K755" s="276">
        <f>ROUND(X68,0)</f>
        <v>259</v>
      </c>
      <c r="L755" s="276">
        <f>ROUND(X69,0)</f>
        <v>0</v>
      </c>
      <c r="M755" s="276">
        <f>ROUND(X70,0)</f>
        <v>0</v>
      </c>
      <c r="N755" s="276">
        <f>ROUND(X75,0)</f>
        <v>113503374</v>
      </c>
      <c r="O755" s="276">
        <f>ROUND(X73,0)</f>
        <v>28606149</v>
      </c>
      <c r="P755" s="276">
        <f>IF(X76&gt;0,ROUND(X76,0),0)</f>
        <v>787</v>
      </c>
      <c r="Q755" s="276">
        <f>IF(X77&gt;0,ROUND(X77,0),0)</f>
        <v>0</v>
      </c>
      <c r="R755" s="276">
        <f>IF(X78&gt;0,ROUND(X78,0),0)</f>
        <v>317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2"/>
        <v>1876915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201*2019*7140*A</v>
      </c>
      <c r="B756" s="276">
        <f>ROUND(Y59,0)</f>
        <v>180947</v>
      </c>
      <c r="C756" s="278">
        <f>ROUND(Y60,2)</f>
        <v>36.479999999999997</v>
      </c>
      <c r="D756" s="276">
        <f>ROUND(Y61,0)</f>
        <v>3726189</v>
      </c>
      <c r="E756" s="276">
        <f>ROUND(Y62,0)</f>
        <v>915042</v>
      </c>
      <c r="F756" s="276">
        <f>ROUND(Y63,0)</f>
        <v>29971</v>
      </c>
      <c r="G756" s="276">
        <f>ROUND(Y64,0)</f>
        <v>285194</v>
      </c>
      <c r="H756" s="276">
        <f>ROUND(Y65,0)</f>
        <v>6613</v>
      </c>
      <c r="I756" s="276">
        <f>ROUND(Y66,0)</f>
        <v>1442072</v>
      </c>
      <c r="J756" s="276">
        <f>ROUND(Y67,0)</f>
        <v>787924</v>
      </c>
      <c r="K756" s="276">
        <f>ROUND(Y68,0)</f>
        <v>243980</v>
      </c>
      <c r="L756" s="276">
        <f>ROUND(Y69,0)</f>
        <v>3663</v>
      </c>
      <c r="M756" s="276">
        <f>ROUND(Y70,0)</f>
        <v>5105</v>
      </c>
      <c r="N756" s="276">
        <f>ROUND(Y75,0)</f>
        <v>80561877</v>
      </c>
      <c r="O756" s="276">
        <f>ROUND(Y73,0)</f>
        <v>22150882</v>
      </c>
      <c r="P756" s="276">
        <f>IF(Y76&gt;0,ROUND(Y76,0),0)</f>
        <v>24598</v>
      </c>
      <c r="Q756" s="276">
        <f>IF(Y77&gt;0,ROUND(Y77,0),0)</f>
        <v>20</v>
      </c>
      <c r="R756" s="276">
        <f>IF(Y78&gt;0,ROUND(Y78,0),0)</f>
        <v>9904</v>
      </c>
      <c r="S756" s="276">
        <f>IF(Y79&gt;0,ROUND(Y79,0),0)</f>
        <v>57738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2"/>
        <v>5297373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201*2019*7150*A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2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201*2019*7160*A</v>
      </c>
      <c r="B758" s="276">
        <f>ROUND(AA59,0)</f>
        <v>1984</v>
      </c>
      <c r="C758" s="278">
        <f>ROUND(AA60,2)</f>
        <v>3.38</v>
      </c>
      <c r="D758" s="276">
        <f>ROUND(AA61,0)</f>
        <v>362209</v>
      </c>
      <c r="E758" s="276">
        <f>ROUND(AA62,0)</f>
        <v>88135</v>
      </c>
      <c r="F758" s="276">
        <f>ROUND(AA63,0)</f>
        <v>0</v>
      </c>
      <c r="G758" s="276">
        <f>ROUND(AA64,0)</f>
        <v>346811</v>
      </c>
      <c r="H758" s="276">
        <f>ROUND(AA65,0)</f>
        <v>328</v>
      </c>
      <c r="I758" s="276">
        <f>ROUND(AA66,0)</f>
        <v>493767</v>
      </c>
      <c r="J758" s="276">
        <f>ROUND(AA67,0)</f>
        <v>15737</v>
      </c>
      <c r="K758" s="276">
        <f>ROUND(AA68,0)</f>
        <v>404</v>
      </c>
      <c r="L758" s="276">
        <f>ROUND(AA69,0)</f>
        <v>302</v>
      </c>
      <c r="M758" s="276">
        <f>ROUND(AA70,0)</f>
        <v>0</v>
      </c>
      <c r="N758" s="276">
        <f>ROUND(AA75,0)</f>
        <v>12133628</v>
      </c>
      <c r="O758" s="276">
        <f>ROUND(AA73,0)</f>
        <v>1586287</v>
      </c>
      <c r="P758" s="276">
        <f>IF(AA76&gt;0,ROUND(AA76,0),0)</f>
        <v>788</v>
      </c>
      <c r="Q758" s="276">
        <f>IF(AA77&gt;0,ROUND(AA77,0),0)</f>
        <v>0</v>
      </c>
      <c r="R758" s="276">
        <f>IF(AA78&gt;0,ROUND(AA78,0),0)</f>
        <v>317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2"/>
        <v>431885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201*2019*7170*A</v>
      </c>
      <c r="B759" s="276"/>
      <c r="C759" s="278">
        <f>ROUND(AB60,2)</f>
        <v>27.49</v>
      </c>
      <c r="D759" s="276">
        <f>ROUND(AB61,0)</f>
        <v>3026580</v>
      </c>
      <c r="E759" s="276">
        <f>ROUND(AB62,0)</f>
        <v>688508</v>
      </c>
      <c r="F759" s="276">
        <f>ROUND(AB63,0)</f>
        <v>0</v>
      </c>
      <c r="G759" s="276">
        <f>ROUND(AB64,0)</f>
        <v>6627448</v>
      </c>
      <c r="H759" s="276">
        <f>ROUND(AB65,0)</f>
        <v>7175</v>
      </c>
      <c r="I759" s="276">
        <f>ROUND(AB66,0)</f>
        <v>441530</v>
      </c>
      <c r="J759" s="276">
        <f>ROUND(AB67,0)</f>
        <v>329626</v>
      </c>
      <c r="K759" s="276">
        <f>ROUND(AB68,0)</f>
        <v>153743</v>
      </c>
      <c r="L759" s="276">
        <f>ROUND(AB69,0)</f>
        <v>1362906</v>
      </c>
      <c r="M759" s="276">
        <f>ROUND(AB70,0)</f>
        <v>2189849</v>
      </c>
      <c r="N759" s="276">
        <f>ROUND(AB75,0)</f>
        <v>145255351</v>
      </c>
      <c r="O759" s="276">
        <f>ROUND(AB73,0)</f>
        <v>83408054</v>
      </c>
      <c r="P759" s="276">
        <f>IF(AB76&gt;0,ROUND(AB76,0),0)</f>
        <v>8305</v>
      </c>
      <c r="Q759" s="276">
        <f>IF(AB77&gt;0,ROUND(AB77,0),0)</f>
        <v>0</v>
      </c>
      <c r="R759" s="276">
        <f>IF(AB78&gt;0,ROUND(AB78,0),0)</f>
        <v>3600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2"/>
        <v>4392057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201*2019*7180*A</v>
      </c>
      <c r="B760" s="276">
        <f>ROUND(AC59,0)</f>
        <v>41333</v>
      </c>
      <c r="C760" s="278">
        <f>ROUND(AC60,2)</f>
        <v>12.52</v>
      </c>
      <c r="D760" s="276">
        <f>ROUND(AC61,0)</f>
        <v>1136735</v>
      </c>
      <c r="E760" s="276">
        <f>ROUND(AC62,0)</f>
        <v>287838</v>
      </c>
      <c r="F760" s="276">
        <f>ROUND(AC63,0)</f>
        <v>11991</v>
      </c>
      <c r="G760" s="276">
        <f>ROUND(AC64,0)</f>
        <v>200185</v>
      </c>
      <c r="H760" s="276">
        <f>ROUND(AC65,0)</f>
        <v>390</v>
      </c>
      <c r="I760" s="276">
        <f>ROUND(AC66,0)</f>
        <v>9357</v>
      </c>
      <c r="J760" s="276">
        <f>ROUND(AC67,0)</f>
        <v>31571</v>
      </c>
      <c r="K760" s="276">
        <f>ROUND(AC68,0)</f>
        <v>3206</v>
      </c>
      <c r="L760" s="276">
        <f>ROUND(AC69,0)</f>
        <v>4645</v>
      </c>
      <c r="M760" s="276">
        <f>ROUND(AC70,0)</f>
        <v>0</v>
      </c>
      <c r="N760" s="276">
        <f>ROUND(AC75,0)</f>
        <v>26272740</v>
      </c>
      <c r="O760" s="276">
        <f>ROUND(AC73,0)</f>
        <v>18532031</v>
      </c>
      <c r="P760" s="276">
        <f>IF(AC76&gt;0,ROUND(AC76,0),0)</f>
        <v>1185</v>
      </c>
      <c r="Q760" s="276">
        <f>IF(AC77&gt;0,ROUND(AC77,0),0)</f>
        <v>0</v>
      </c>
      <c r="R760" s="276">
        <f>IF(AC78&gt;0,ROUND(AC78,0),0)</f>
        <v>477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2"/>
        <v>765094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201*2019*7190*A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50893</v>
      </c>
      <c r="H761" s="276">
        <f>ROUND(AD65,0)</f>
        <v>0</v>
      </c>
      <c r="I761" s="276">
        <f>ROUND(AD66,0)</f>
        <v>503452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51867</v>
      </c>
      <c r="N761" s="276">
        <f>ROUND(AD75,0)</f>
        <v>1702973</v>
      </c>
      <c r="O761" s="276">
        <f>ROUND(AD73,0)</f>
        <v>1611531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2"/>
        <v>79883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201*2019*7200*A</v>
      </c>
      <c r="B762" s="276">
        <f>ROUND(AE59,0)</f>
        <v>82798</v>
      </c>
      <c r="C762" s="278">
        <f>ROUND(AE60,2)</f>
        <v>18.71</v>
      </c>
      <c r="D762" s="276">
        <f>ROUND(AE61,0)</f>
        <v>1796624</v>
      </c>
      <c r="E762" s="276">
        <f>ROUND(AE62,0)</f>
        <v>441428</v>
      </c>
      <c r="F762" s="276">
        <f>ROUND(AE63,0)</f>
        <v>0</v>
      </c>
      <c r="G762" s="276">
        <f>ROUND(AE64,0)</f>
        <v>20380</v>
      </c>
      <c r="H762" s="276">
        <f>ROUND(AE65,0)</f>
        <v>4523</v>
      </c>
      <c r="I762" s="276">
        <f>ROUND(AE66,0)</f>
        <v>41325</v>
      </c>
      <c r="J762" s="276">
        <f>ROUND(AE67,0)</f>
        <v>220314</v>
      </c>
      <c r="K762" s="276">
        <f>ROUND(AE68,0)</f>
        <v>149821</v>
      </c>
      <c r="L762" s="276">
        <f>ROUND(AE69,0)</f>
        <v>9266</v>
      </c>
      <c r="M762" s="276">
        <f>ROUND(AE70,0)</f>
        <v>0</v>
      </c>
      <c r="N762" s="276">
        <f>ROUND(AE75,0)</f>
        <v>13850951</v>
      </c>
      <c r="O762" s="276">
        <f>ROUND(AE73,0)</f>
        <v>2457208</v>
      </c>
      <c r="P762" s="276">
        <f>IF(AE76&gt;0,ROUND(AE76,0),0)</f>
        <v>9857</v>
      </c>
      <c r="Q762" s="276">
        <f>IF(AE77&gt;0,ROUND(AE77,0),0)</f>
        <v>0</v>
      </c>
      <c r="R762" s="276">
        <f>IF(AE78&gt;0,ROUND(AE78,0),0)</f>
        <v>3969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2"/>
        <v>1845303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201*2019*7220*A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2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201*2019*7230*A</v>
      </c>
      <c r="B764" s="276">
        <f>ROUND(AG59,0)</f>
        <v>51261</v>
      </c>
      <c r="C764" s="278">
        <f>ROUND(AG60,2)</f>
        <v>94.63</v>
      </c>
      <c r="D764" s="276">
        <f>ROUND(AG61,0)</f>
        <v>8294967</v>
      </c>
      <c r="E764" s="276">
        <f>ROUND(AG62,0)</f>
        <v>2051820</v>
      </c>
      <c r="F764" s="276">
        <f>ROUND(AG63,0)</f>
        <v>1120044</v>
      </c>
      <c r="G764" s="276">
        <f>ROUND(AG64,0)</f>
        <v>1357406</v>
      </c>
      <c r="H764" s="276">
        <f>ROUND(AG65,0)</f>
        <v>2186</v>
      </c>
      <c r="I764" s="276">
        <f>ROUND(AG66,0)</f>
        <v>1774791</v>
      </c>
      <c r="J764" s="276">
        <f>ROUND(AG67,0)</f>
        <v>266094</v>
      </c>
      <c r="K764" s="276">
        <f>ROUND(AG68,0)</f>
        <v>23678</v>
      </c>
      <c r="L764" s="276">
        <f>ROUND(AG69,0)</f>
        <v>161314</v>
      </c>
      <c r="M764" s="276">
        <f>ROUND(AG70,0)</f>
        <v>986</v>
      </c>
      <c r="N764" s="276">
        <f>ROUND(AG75,0)</f>
        <v>178563077</v>
      </c>
      <c r="O764" s="276">
        <f>ROUND(AG73,0)</f>
        <v>37475838</v>
      </c>
      <c r="P764" s="276">
        <f>IF(AG76&gt;0,ROUND(AG76,0),0)</f>
        <v>10167</v>
      </c>
      <c r="Q764" s="276">
        <f>IF(AG77&gt;0,ROUND(AG77,0),0)</f>
        <v>7487</v>
      </c>
      <c r="R764" s="276">
        <f>IF(AG78&gt;0,ROUND(AG78,0),0)</f>
        <v>4094</v>
      </c>
      <c r="S764" s="276">
        <f>IF(AG79&gt;0,ROUND(AG79,0),0)</f>
        <v>288111</v>
      </c>
      <c r="T764" s="278">
        <f>IF(AG80&gt;0,ROUND(AG80,2),0)</f>
        <v>51.45</v>
      </c>
      <c r="U764" s="276"/>
      <c r="V764" s="277"/>
      <c r="W764" s="276"/>
      <c r="X764" s="276"/>
      <c r="Y764" s="276">
        <f t="shared" si="22"/>
        <v>6594050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201*2019*7240*A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2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201*2019*7250*A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2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201*2019*7260*A</v>
      </c>
      <c r="B767" s="276">
        <f>ROUND(AJ59,0)</f>
        <v>288731</v>
      </c>
      <c r="C767" s="278">
        <f>ROUND(AJ60,2)</f>
        <v>363.92</v>
      </c>
      <c r="D767" s="276">
        <f>ROUND(AJ61,0)</f>
        <v>40023145</v>
      </c>
      <c r="E767" s="276">
        <f>ROUND(AJ62,0)</f>
        <v>7259946</v>
      </c>
      <c r="F767" s="276">
        <f>ROUND(AJ63,0)</f>
        <v>780924</v>
      </c>
      <c r="G767" s="276">
        <f>ROUND(AJ64,0)</f>
        <v>2927770</v>
      </c>
      <c r="H767" s="276">
        <f>ROUND(AJ65,0)</f>
        <v>178365</v>
      </c>
      <c r="I767" s="276">
        <f>ROUND(AJ66,0)</f>
        <v>5715054</v>
      </c>
      <c r="J767" s="276">
        <f>ROUND(AJ67,0)</f>
        <v>2539984</v>
      </c>
      <c r="K767" s="276">
        <f>ROUND(AJ68,0)</f>
        <v>4026793</v>
      </c>
      <c r="L767" s="276">
        <f>ROUND(AJ69,0)</f>
        <v>2059700</v>
      </c>
      <c r="M767" s="276">
        <f>ROUND(AJ70,0)</f>
        <v>1577031</v>
      </c>
      <c r="N767" s="276">
        <f>ROUND(AJ75,0)</f>
        <v>125198154</v>
      </c>
      <c r="O767" s="276">
        <f>ROUND(AJ73,0)</f>
        <v>303523</v>
      </c>
      <c r="P767" s="276">
        <f>IF(AJ76&gt;0,ROUND(AJ76,0),0)</f>
        <v>0</v>
      </c>
      <c r="Q767" s="276">
        <f>IF(AJ77&gt;0,ROUND(AJ77,0),0)</f>
        <v>14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41.88</v>
      </c>
      <c r="U767" s="276"/>
      <c r="V767" s="277"/>
      <c r="W767" s="276"/>
      <c r="X767" s="276"/>
      <c r="Y767" s="276">
        <f t="shared" si="22"/>
        <v>11107483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201*2019*7310*A</v>
      </c>
      <c r="B768" s="276">
        <f>ROUND(AK59,0)</f>
        <v>13455</v>
      </c>
      <c r="C768" s="278">
        <f>ROUND(AK60,2)</f>
        <v>3.09</v>
      </c>
      <c r="D768" s="276">
        <f>ROUND(AK61,0)</f>
        <v>322217</v>
      </c>
      <c r="E768" s="276">
        <f>ROUND(AK62,0)</f>
        <v>76719</v>
      </c>
      <c r="F768" s="276">
        <f>ROUND(AK63,0)</f>
        <v>0</v>
      </c>
      <c r="G768" s="276">
        <f>ROUND(AK64,0)</f>
        <v>1224</v>
      </c>
      <c r="H768" s="276">
        <f>ROUND(AK65,0)</f>
        <v>292</v>
      </c>
      <c r="I768" s="276">
        <f>ROUND(AK66,0)</f>
        <v>1322</v>
      </c>
      <c r="J768" s="276">
        <f>ROUND(AK67,0)</f>
        <v>53225</v>
      </c>
      <c r="K768" s="276">
        <f>ROUND(AK68,0)</f>
        <v>0</v>
      </c>
      <c r="L768" s="276">
        <f>ROUND(AK69,0)</f>
        <v>892</v>
      </c>
      <c r="M768" s="276">
        <f>ROUND(AK70,0)</f>
        <v>0</v>
      </c>
      <c r="N768" s="276">
        <f>ROUND(AK75,0)</f>
        <v>2580145</v>
      </c>
      <c r="O768" s="276">
        <f>ROUND(AK73,0)</f>
        <v>951854</v>
      </c>
      <c r="P768" s="276">
        <f>IF(AK76&gt;0,ROUND(AK76,0),0)</f>
        <v>3298</v>
      </c>
      <c r="Q768" s="276">
        <f>IF(AK77&gt;0,ROUND(AK77,0),0)</f>
        <v>0</v>
      </c>
      <c r="R768" s="276">
        <f>IF(AK78&gt;0,ROUND(AK78,0),0)</f>
        <v>1328</v>
      </c>
      <c r="S768" s="276">
        <f>IF(AK79&gt;0,ROUND(AK79,0),0)</f>
        <v>15420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2"/>
        <v>529780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201*2019*7320*A</v>
      </c>
      <c r="B769" s="276">
        <f>ROUND(AL59,0)</f>
        <v>2659</v>
      </c>
      <c r="C769" s="278">
        <f>ROUND(AL60,2)</f>
        <v>1.39</v>
      </c>
      <c r="D769" s="276">
        <f>ROUND(AL61,0)</f>
        <v>136089</v>
      </c>
      <c r="E769" s="276">
        <f>ROUND(AL62,0)</f>
        <v>33428</v>
      </c>
      <c r="F769" s="276">
        <f>ROUND(AL63,0)</f>
        <v>0</v>
      </c>
      <c r="G769" s="276">
        <f>ROUND(AL64,0)</f>
        <v>0</v>
      </c>
      <c r="H769" s="276">
        <f>ROUND(AL65,0)</f>
        <v>97</v>
      </c>
      <c r="I769" s="276">
        <f>ROUND(AL66,0)</f>
        <v>584</v>
      </c>
      <c r="J769" s="276">
        <f>ROUND(AL67,0)</f>
        <v>11086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1018371</v>
      </c>
      <c r="O769" s="276">
        <f>ROUND(AL73,0)</f>
        <v>567960</v>
      </c>
      <c r="P769" s="276">
        <f>IF(AL76&gt;0,ROUND(AL76,0),0)</f>
        <v>690</v>
      </c>
      <c r="Q769" s="276">
        <f>IF(AL77&gt;0,ROUND(AL77,0),0)</f>
        <v>0</v>
      </c>
      <c r="R769" s="276">
        <f>IF(AL78&gt;0,ROUND(AL78,0),0)</f>
        <v>278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2"/>
        <v>129505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201*2019*7330*A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2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201*2019*7340*A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2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201*2019*7350*A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2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201*2019*7380*A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2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201*2019*7390*A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2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201*2019*7400*A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2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201*2019*7410*A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2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201*2019*7420*A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2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201*2019*7430*A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2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201*2019*7490*A</v>
      </c>
      <c r="B779" s="276"/>
      <c r="C779" s="278">
        <f>ROUND(AV60,2)</f>
        <v>13.74</v>
      </c>
      <c r="D779" s="276">
        <f>ROUND(AV61,0)</f>
        <v>974892</v>
      </c>
      <c r="E779" s="276">
        <f>ROUND(AV62,0)</f>
        <v>279530</v>
      </c>
      <c r="F779" s="276">
        <f>ROUND(AV63,0)</f>
        <v>112720</v>
      </c>
      <c r="G779" s="276">
        <f>ROUND(AV64,0)</f>
        <v>119889</v>
      </c>
      <c r="H779" s="276">
        <f>ROUND(AV65,0)</f>
        <v>1162</v>
      </c>
      <c r="I779" s="276">
        <f>ROUND(AV66,0)</f>
        <v>1083936</v>
      </c>
      <c r="J779" s="276">
        <f>ROUND(AV67,0)</f>
        <v>32160</v>
      </c>
      <c r="K779" s="276">
        <f>ROUND(AV68,0)</f>
        <v>212915</v>
      </c>
      <c r="L779" s="276">
        <f>ROUND(AV69,0)</f>
        <v>132141</v>
      </c>
      <c r="M779" s="276">
        <f>ROUND(AV70,0)</f>
        <v>1825</v>
      </c>
      <c r="N779" s="276">
        <f>ROUND(AV75,0)</f>
        <v>5450353</v>
      </c>
      <c r="O779" s="276">
        <f>ROUND(AV73,0)</f>
        <v>265992</v>
      </c>
      <c r="P779" s="276">
        <f>IF(AV76&gt;0,ROUND(AV76,0),0)</f>
        <v>803</v>
      </c>
      <c r="Q779" s="276">
        <f>IF(AV77&gt;0,ROUND(AV77,0),0)</f>
        <v>21576</v>
      </c>
      <c r="R779" s="276">
        <f>IF(AV78&gt;0,ROUND(AV78,0),0)</f>
        <v>0</v>
      </c>
      <c r="S779" s="276">
        <f>IF(AV79&gt;0,ROUND(AV79,0),0)</f>
        <v>10720</v>
      </c>
      <c r="T779" s="278">
        <f>IF(AV80&gt;0,ROUND(AV80,2),0)</f>
        <v>0.23</v>
      </c>
      <c r="U779" s="276"/>
      <c r="V779" s="277"/>
      <c r="W779" s="276"/>
      <c r="X779" s="276"/>
      <c r="Y779" s="276">
        <f t="shared" si="22"/>
        <v>566286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201*2019*8200*A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201*2019*8310*A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90426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201*2019*8320*A</v>
      </c>
      <c r="B782" s="276">
        <f>ROUND(AY59,0)</f>
        <v>158146</v>
      </c>
      <c r="C782" s="278">
        <f>ROUND(AY60,2)</f>
        <v>0</v>
      </c>
      <c r="D782" s="276">
        <f>ROUND(AY61,0)</f>
        <v>0</v>
      </c>
      <c r="E782" s="276">
        <f>ROUND(AY62,0)</f>
        <v>0</v>
      </c>
      <c r="F782" s="276">
        <f>ROUND(AY63,0)</f>
        <v>0</v>
      </c>
      <c r="G782" s="276">
        <f>ROUND(AY64,0)</f>
        <v>0</v>
      </c>
      <c r="H782" s="276">
        <f>ROUND(AY65,0)</f>
        <v>0</v>
      </c>
      <c r="I782" s="276">
        <f>ROUND(AY66,0)</f>
        <v>0</v>
      </c>
      <c r="J782" s="276">
        <f>ROUND(AY67,0)</f>
        <v>0</v>
      </c>
      <c r="K782" s="276">
        <f>ROUND(AY68,0)</f>
        <v>0</v>
      </c>
      <c r="L782" s="276">
        <f>ROUND(AY69,0)</f>
        <v>0</v>
      </c>
      <c r="M782" s="276">
        <f>ROUND(AY70,0)</f>
        <v>0</v>
      </c>
      <c r="N782" s="276"/>
      <c r="O782" s="276"/>
      <c r="P782" s="276">
        <f>IF(AY76&gt;0,ROUND(AY76,0),0)</f>
        <v>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201*2019*8330*A</v>
      </c>
      <c r="B783" s="276">
        <f>ROUND(AZ59,0)</f>
        <v>287297</v>
      </c>
      <c r="C783" s="278">
        <f>ROUND(AZ60,2)</f>
        <v>38.32</v>
      </c>
      <c r="D783" s="276">
        <f>ROUND(AZ61,0)</f>
        <v>1726352</v>
      </c>
      <c r="E783" s="276">
        <f>ROUND(AZ62,0)</f>
        <v>660936</v>
      </c>
      <c r="F783" s="276">
        <f>ROUND(AZ63,0)</f>
        <v>0</v>
      </c>
      <c r="G783" s="276">
        <f>ROUND(AZ64,0)</f>
        <v>840608</v>
      </c>
      <c r="H783" s="276">
        <f>ROUND(AZ65,0)</f>
        <v>1150</v>
      </c>
      <c r="I783" s="276">
        <f>ROUND(AZ66,0)</f>
        <v>652079</v>
      </c>
      <c r="J783" s="276">
        <f>ROUND(AZ67,0)</f>
        <v>137201</v>
      </c>
      <c r="K783" s="276">
        <f>ROUND(AZ68,0)</f>
        <v>24764</v>
      </c>
      <c r="L783" s="276">
        <f>ROUND(AZ69,0)</f>
        <v>20440</v>
      </c>
      <c r="M783" s="276">
        <f>ROUND(AZ70,0)</f>
        <v>1078865</v>
      </c>
      <c r="N783" s="276"/>
      <c r="O783" s="276"/>
      <c r="P783" s="276">
        <f>IF(AZ76&gt;0,ROUND(AZ76,0),0)</f>
        <v>5708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201*2019*8350*A</v>
      </c>
      <c r="B784" s="276">
        <f>ROUND(BA59,0)</f>
        <v>0</v>
      </c>
      <c r="C784" s="278">
        <f>ROUND(BA60,2)</f>
        <v>1.02</v>
      </c>
      <c r="D784" s="276">
        <f>ROUND(BA61,0)</f>
        <v>49429</v>
      </c>
      <c r="E784" s="276">
        <f>ROUND(BA62,0)</f>
        <v>17849</v>
      </c>
      <c r="F784" s="276">
        <f>ROUND(BA63,0)</f>
        <v>0</v>
      </c>
      <c r="G784" s="276">
        <f>ROUND(BA64,0)</f>
        <v>14</v>
      </c>
      <c r="H784" s="276">
        <f>ROUND(BA65,0)</f>
        <v>0</v>
      </c>
      <c r="I784" s="276">
        <f>ROUND(BA66,0)</f>
        <v>1000</v>
      </c>
      <c r="J784" s="276">
        <f>ROUND(BA67,0)</f>
        <v>34687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2159</v>
      </c>
      <c r="Q784" s="276">
        <f>IF(BA77&gt;0,ROUND(BA77,0),0)</f>
        <v>0</v>
      </c>
      <c r="R784" s="276">
        <f>IF(BA78&gt;0,ROUND(BA78,0),0)</f>
        <v>869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201*2019*8360*A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201*2019*8370*A</v>
      </c>
      <c r="B786" s="276"/>
      <c r="C786" s="278">
        <f>ROUND(BC60,2)</f>
        <v>6.85</v>
      </c>
      <c r="D786" s="276">
        <f>ROUND(BC61,0)</f>
        <v>321621</v>
      </c>
      <c r="E786" s="276">
        <f>ROUND(BC62,0)</f>
        <v>119777</v>
      </c>
      <c r="F786" s="276">
        <f>ROUND(BC63,0)</f>
        <v>0</v>
      </c>
      <c r="G786" s="276">
        <f>ROUND(BC64,0)</f>
        <v>559</v>
      </c>
      <c r="H786" s="276">
        <f>ROUND(BC65,0)</f>
        <v>374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-2774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201*2019*8420*A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201*2019*8430*A</v>
      </c>
      <c r="B788" s="276">
        <f>ROUND(BE59,0)</f>
        <v>259285</v>
      </c>
      <c r="C788" s="278">
        <f>ROUND(BE60,2)</f>
        <v>7.32</v>
      </c>
      <c r="D788" s="276">
        <f>ROUND(BE61,0)</f>
        <v>447711</v>
      </c>
      <c r="E788" s="276">
        <f>ROUND(BE62,0)</f>
        <v>140501</v>
      </c>
      <c r="F788" s="276">
        <f>ROUND(BE63,0)</f>
        <v>0</v>
      </c>
      <c r="G788" s="276">
        <f>ROUND(BE64,0)</f>
        <v>6275</v>
      </c>
      <c r="H788" s="276">
        <f>ROUND(BE65,0)</f>
        <v>1160855</v>
      </c>
      <c r="I788" s="276">
        <f>ROUND(BE66,0)</f>
        <v>5461709</v>
      </c>
      <c r="J788" s="276">
        <f>ROUND(BE67,0)</f>
        <v>1186734</v>
      </c>
      <c r="K788" s="276">
        <f>ROUND(BE68,0)</f>
        <v>33619</v>
      </c>
      <c r="L788" s="276">
        <f>ROUND(BE69,0)</f>
        <v>7744</v>
      </c>
      <c r="M788" s="276">
        <f>ROUND(BE70,0)</f>
        <v>26825</v>
      </c>
      <c r="N788" s="276"/>
      <c r="O788" s="276"/>
      <c r="P788" s="276">
        <f>IF(BE76&gt;0,ROUND(BE76,0),0)</f>
        <v>60387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201*2019*8460*A</v>
      </c>
      <c r="B789" s="276"/>
      <c r="C789" s="278">
        <f>ROUND(BF60,2)</f>
        <v>32.32</v>
      </c>
      <c r="D789" s="276">
        <f>ROUND(BF61,0)</f>
        <v>1539937</v>
      </c>
      <c r="E789" s="276">
        <f>ROUND(BF62,0)</f>
        <v>546117</v>
      </c>
      <c r="F789" s="276">
        <f>ROUND(BF63,0)</f>
        <v>0</v>
      </c>
      <c r="G789" s="276">
        <f>ROUND(BF64,0)</f>
        <v>207431</v>
      </c>
      <c r="H789" s="276">
        <f>ROUND(BF65,0)</f>
        <v>998</v>
      </c>
      <c r="I789" s="276">
        <f>ROUND(BF66,0)</f>
        <v>222534</v>
      </c>
      <c r="J789" s="276">
        <f>ROUND(BF67,0)</f>
        <v>10280</v>
      </c>
      <c r="K789" s="276">
        <f>ROUND(BF68,0)</f>
        <v>803</v>
      </c>
      <c r="L789" s="276">
        <f>ROUND(BF69,0)</f>
        <v>5985</v>
      </c>
      <c r="M789" s="276">
        <f>ROUND(BF70,0)</f>
        <v>0</v>
      </c>
      <c r="N789" s="276"/>
      <c r="O789" s="276"/>
      <c r="P789" s="276">
        <f>IF(BF76&gt;0,ROUND(BF76,0),0)</f>
        <v>625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201*2019*8470*A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389277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201*2019*8480*A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1695883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201*2019*8490*A</v>
      </c>
      <c r="B792" s="276"/>
      <c r="C792" s="278">
        <f>ROUND(BI60,2)</f>
        <v>0.3</v>
      </c>
      <c r="D792" s="276">
        <f>ROUND(BI61,0)</f>
        <v>9843</v>
      </c>
      <c r="E792" s="276">
        <f>ROUND(BI62,0)</f>
        <v>4652</v>
      </c>
      <c r="F792" s="276">
        <f>ROUND(BI63,0)</f>
        <v>0</v>
      </c>
      <c r="G792" s="276">
        <f>ROUND(BI64,0)</f>
        <v>59972</v>
      </c>
      <c r="H792" s="276">
        <f>ROUND(BI65,0)</f>
        <v>0</v>
      </c>
      <c r="I792" s="276">
        <f>ROUND(BI66,0)</f>
        <v>541</v>
      </c>
      <c r="J792" s="276">
        <f>ROUND(BI67,0)</f>
        <v>7776</v>
      </c>
      <c r="K792" s="276">
        <f>ROUND(BI68,0)</f>
        <v>0</v>
      </c>
      <c r="L792" s="276">
        <f>ROUND(BI69,0)</f>
        <v>842</v>
      </c>
      <c r="M792" s="276">
        <f>ROUND(BI70,0)</f>
        <v>99440</v>
      </c>
      <c r="N792" s="276"/>
      <c r="O792" s="276"/>
      <c r="P792" s="276">
        <f>IF(BI76&gt;0,ROUND(BI76,0),0)</f>
        <v>484</v>
      </c>
      <c r="Q792" s="276">
        <f>IF(BI77&gt;0,ROUND(BI77,0),0)</f>
        <v>0</v>
      </c>
      <c r="R792" s="276">
        <f>IF(BI78&gt;0,ROUND(BI78,0),0)</f>
        <v>195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201*2019*8510*A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404906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201*2019*8530*A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2621220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201*2019*8560*A</v>
      </c>
      <c r="B795" s="276"/>
      <c r="C795" s="278">
        <f>ROUND(BL60,2)</f>
        <v>1.85</v>
      </c>
      <c r="D795" s="276">
        <f>ROUND(BL61,0)</f>
        <v>79743</v>
      </c>
      <c r="E795" s="276">
        <f>ROUND(BL62,0)</f>
        <v>25621</v>
      </c>
      <c r="F795" s="276">
        <f>ROUND(BL63,0)</f>
        <v>0</v>
      </c>
      <c r="G795" s="276">
        <f>ROUND(BL64,0)</f>
        <v>15918</v>
      </c>
      <c r="H795" s="276">
        <f>ROUND(BL65,0)</f>
        <v>369</v>
      </c>
      <c r="I795" s="276">
        <f>ROUND(BL66,0)</f>
        <v>3410138</v>
      </c>
      <c r="J795" s="276">
        <f>ROUND(BL67,0)</f>
        <v>656</v>
      </c>
      <c r="K795" s="276">
        <f>ROUND(BL68,0)</f>
        <v>8711</v>
      </c>
      <c r="L795" s="276">
        <f>ROUND(BL69,0)</f>
        <v>1386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201*2019*8590*A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201*2019*8610*A</v>
      </c>
      <c r="B797" s="276"/>
      <c r="C797" s="278">
        <f>ROUND(BN60,2)</f>
        <v>22.54</v>
      </c>
      <c r="D797" s="276">
        <f>ROUND(BN61,0)</f>
        <v>2182625</v>
      </c>
      <c r="E797" s="276">
        <f>ROUND(BN62,0)</f>
        <v>499084</v>
      </c>
      <c r="F797" s="276">
        <f>ROUND(BN63,0)</f>
        <v>0</v>
      </c>
      <c r="G797" s="276">
        <f>ROUND(BN64,0)</f>
        <v>106610</v>
      </c>
      <c r="H797" s="276">
        <f>ROUND(BN65,0)</f>
        <v>451</v>
      </c>
      <c r="I797" s="276">
        <f>ROUND(BN66,0)</f>
        <v>2654527</v>
      </c>
      <c r="J797" s="276">
        <f>ROUND(BN67,0)</f>
        <v>386028</v>
      </c>
      <c r="K797" s="276">
        <f>ROUND(BN68,0)</f>
        <v>191218</v>
      </c>
      <c r="L797" s="276">
        <f>ROUND(BN69,0)</f>
        <v>490003</v>
      </c>
      <c r="M797" s="276">
        <f>ROUND(BN70,0)</f>
        <v>0</v>
      </c>
      <c r="N797" s="276"/>
      <c r="O797" s="276"/>
      <c r="P797" s="276">
        <f>IF(BN76&gt;0,ROUND(BN76,0),0)</f>
        <v>24024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201*2019*8620*A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295139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201*2019*8630*A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1555367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201*2019*8640*A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201*2019*8650*A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486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993026</v>
      </c>
      <c r="J801" s="276">
        <f>ROUND(BR67,0)</f>
        <v>0</v>
      </c>
      <c r="K801" s="276">
        <f>ROUND(BR68,0)</f>
        <v>0</v>
      </c>
      <c r="L801" s="276">
        <f>ROUND(BR69,0)</f>
        <v>1204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201*2019*8660*A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81551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201*2019*8670*A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139625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201*2019*8680*A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48640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201*2019*8690*A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3608683</v>
      </c>
      <c r="J805" s="276">
        <f>ROUND(BV67,0)</f>
        <v>41290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2570</v>
      </c>
      <c r="Q805" s="276">
        <f>IF(BV77&gt;0,ROUND(BV77,0),0)</f>
        <v>0</v>
      </c>
      <c r="R805" s="276">
        <f>IF(BV78&gt;0,ROUND(BV78,0),0)</f>
        <v>1035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201*2019*8700*A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716660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201*2019*8710*A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4316889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201*2019*8720*A</v>
      </c>
      <c r="B808" s="276"/>
      <c r="C808" s="278">
        <f>ROUND(BY60,2)</f>
        <v>13.24</v>
      </c>
      <c r="D808" s="276">
        <f>ROUND(BY61,0)</f>
        <v>1361405</v>
      </c>
      <c r="E808" s="276">
        <f>ROUND(BY62,0)</f>
        <v>323623</v>
      </c>
      <c r="F808" s="276">
        <f>ROUND(BY63,0)</f>
        <v>0</v>
      </c>
      <c r="G808" s="276">
        <f>ROUND(BY64,0)</f>
        <v>12005</v>
      </c>
      <c r="H808" s="276">
        <f>ROUND(BY65,0)</f>
        <v>1463</v>
      </c>
      <c r="I808" s="276">
        <f>ROUND(BY66,0)</f>
        <v>144507</v>
      </c>
      <c r="J808" s="276">
        <f>ROUND(BY67,0)</f>
        <v>56745</v>
      </c>
      <c r="K808" s="276">
        <f>ROUND(BY68,0)</f>
        <v>12007</v>
      </c>
      <c r="L808" s="276">
        <f>ROUND(BY69,0)</f>
        <v>50855</v>
      </c>
      <c r="M808" s="276">
        <f>ROUND(BY70,0)</f>
        <v>0</v>
      </c>
      <c r="N808" s="276"/>
      <c r="O808" s="276"/>
      <c r="P808" s="276">
        <f>IF(BY76&gt;0,ROUND(BY76,0),0)</f>
        <v>1482</v>
      </c>
      <c r="Q808" s="276">
        <f>IF(BY77&gt;0,ROUND(BY77,0),0)</f>
        <v>0</v>
      </c>
      <c r="R808" s="276">
        <f>IF(BY78&gt;0,ROUND(BY78,0),0)</f>
        <v>597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201*2019*8730*A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201*2019*8740*A</v>
      </c>
      <c r="B810" s="276"/>
      <c r="C810" s="278">
        <f>ROUND(CA60,2)</f>
        <v>5.62</v>
      </c>
      <c r="D810" s="276">
        <f>ROUND(CA61,0)</f>
        <v>656500</v>
      </c>
      <c r="E810" s="276">
        <f>ROUND(CA62,0)</f>
        <v>147419</v>
      </c>
      <c r="F810" s="276">
        <f>ROUND(CA63,0)</f>
        <v>0</v>
      </c>
      <c r="G810" s="276">
        <f>ROUND(CA64,0)</f>
        <v>33</v>
      </c>
      <c r="H810" s="276">
        <f>ROUND(CA65,0)</f>
        <v>0</v>
      </c>
      <c r="I810" s="276">
        <f>ROUND(CA66,0)</f>
        <v>431676</v>
      </c>
      <c r="J810" s="276">
        <f>ROUND(CA67,0)</f>
        <v>0</v>
      </c>
      <c r="K810" s="276">
        <f>ROUND(CA68,0)</f>
        <v>0</v>
      </c>
      <c r="L810" s="276">
        <f>ROUND(CA69,0)</f>
        <v>2023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201*2019*8770*A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52220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201*2019*8790*A</v>
      </c>
      <c r="B812" s="276"/>
      <c r="C812" s="278">
        <f>ROUND(CC60,2)</f>
        <v>0</v>
      </c>
      <c r="D812" s="276">
        <f>ROUND(CC61,0)</f>
        <v>255177</v>
      </c>
      <c r="E812" s="276">
        <f>ROUND(CC62,0)</f>
        <v>23918</v>
      </c>
      <c r="F812" s="276">
        <f>ROUND(CC63,0)</f>
        <v>3914452</v>
      </c>
      <c r="G812" s="276">
        <f>ROUND(CC64,0)</f>
        <v>131478</v>
      </c>
      <c r="H812" s="276">
        <f>ROUND(CC65,0)</f>
        <v>0</v>
      </c>
      <c r="I812" s="276">
        <f>ROUND(CC66,0)</f>
        <v>11773943</v>
      </c>
      <c r="J812" s="276">
        <f>ROUND(CC67,0)</f>
        <v>2003</v>
      </c>
      <c r="K812" s="276">
        <f>ROUND(CC68,0)</f>
        <v>303830</v>
      </c>
      <c r="L812" s="276">
        <f>ROUND(CC69,0)</f>
        <v>-148056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201*2019*9000*A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11826339</v>
      </c>
      <c r="V813" s="277">
        <f>ROUND(CD70,0)</f>
        <v>587626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3">SUM(C734:C813)</f>
        <v>1188.7199999999996</v>
      </c>
      <c r="D815" s="277">
        <f t="shared" si="23"/>
        <v>110178103</v>
      </c>
      <c r="E815" s="277">
        <f t="shared" si="23"/>
        <v>25266238</v>
      </c>
      <c r="F815" s="277">
        <f t="shared" si="23"/>
        <v>10887903</v>
      </c>
      <c r="G815" s="277">
        <f t="shared" si="23"/>
        <v>37188891</v>
      </c>
      <c r="H815" s="277">
        <f t="shared" si="23"/>
        <v>1392546</v>
      </c>
      <c r="I815" s="277">
        <f t="shared" si="23"/>
        <v>58586439</v>
      </c>
      <c r="J815" s="277">
        <f t="shared" si="23"/>
        <v>13771382</v>
      </c>
      <c r="K815" s="277">
        <f t="shared" si="23"/>
        <v>6440657</v>
      </c>
      <c r="L815" s="277">
        <f>SUM(L734:L813)+SUM(U734:U813)</f>
        <v>16498954</v>
      </c>
      <c r="M815" s="277">
        <f>SUM(M734:M813)+SUM(V734:V813)</f>
        <v>5785672</v>
      </c>
      <c r="N815" s="277">
        <f t="shared" ref="N815:Y815" si="24">SUM(N734:N813)</f>
        <v>1413260165</v>
      </c>
      <c r="O815" s="277">
        <f t="shared" si="24"/>
        <v>578085549</v>
      </c>
      <c r="P815" s="277">
        <f t="shared" si="24"/>
        <v>259285</v>
      </c>
      <c r="Q815" s="277">
        <f t="shared" si="24"/>
        <v>158146</v>
      </c>
      <c r="R815" s="277">
        <f t="shared" si="24"/>
        <v>67219</v>
      </c>
      <c r="S815" s="277">
        <f t="shared" si="24"/>
        <v>1094304</v>
      </c>
      <c r="T815" s="281">
        <f t="shared" si="24"/>
        <v>345.96</v>
      </c>
      <c r="U815" s="277">
        <f t="shared" si="24"/>
        <v>11826339</v>
      </c>
      <c r="V815" s="277">
        <f t="shared" si="24"/>
        <v>587626</v>
      </c>
      <c r="W815" s="277">
        <f t="shared" si="24"/>
        <v>0</v>
      </c>
      <c r="X815" s="277">
        <f t="shared" si="24"/>
        <v>0</v>
      </c>
      <c r="Y815" s="277">
        <f t="shared" si="24"/>
        <v>72265093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1188.7199999999996</v>
      </c>
      <c r="D816" s="277">
        <f>CE61</f>
        <v>110178102.10999997</v>
      </c>
      <c r="E816" s="277">
        <f>CE62</f>
        <v>25266238</v>
      </c>
      <c r="F816" s="277">
        <f>CE63</f>
        <v>10887902.93</v>
      </c>
      <c r="G816" s="277">
        <f>CE64</f>
        <v>37188888.140000008</v>
      </c>
      <c r="H816" s="280">
        <f>CE65</f>
        <v>1392543.71</v>
      </c>
      <c r="I816" s="280">
        <f>CE66</f>
        <v>58586438.527085043</v>
      </c>
      <c r="J816" s="280">
        <f>CE67</f>
        <v>13771382</v>
      </c>
      <c r="K816" s="280">
        <f>CE68</f>
        <v>6440657.3200000003</v>
      </c>
      <c r="L816" s="280">
        <f>CE69</f>
        <v>16498955.170000002</v>
      </c>
      <c r="M816" s="280">
        <f>CE70</f>
        <v>5785671.9900000002</v>
      </c>
      <c r="N816" s="277">
        <f>CE75</f>
        <v>1413260165.0199997</v>
      </c>
      <c r="O816" s="277">
        <f>CE73</f>
        <v>578085547.97000015</v>
      </c>
      <c r="P816" s="277">
        <f>CE76</f>
        <v>259284.66999999998</v>
      </c>
      <c r="Q816" s="277">
        <f>CE77</f>
        <v>158146</v>
      </c>
      <c r="R816" s="277">
        <f>CE78</f>
        <v>67219</v>
      </c>
      <c r="S816" s="277">
        <f>CE79</f>
        <v>1094304</v>
      </c>
      <c r="T816" s="281">
        <f>CE80</f>
        <v>345.96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72265093.615519091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110178101.73</v>
      </c>
      <c r="E817" s="180">
        <f>C379</f>
        <v>25266238.23</v>
      </c>
      <c r="F817" s="180">
        <f>C380</f>
        <v>10887903.35</v>
      </c>
      <c r="G817" s="240">
        <f>C381</f>
        <v>37188888.200000003</v>
      </c>
      <c r="H817" s="240">
        <f>C382</f>
        <v>1392543.71</v>
      </c>
      <c r="I817" s="240">
        <f>C383</f>
        <v>58586439</v>
      </c>
      <c r="J817" s="240">
        <f>C384</f>
        <v>13771388.48</v>
      </c>
      <c r="K817" s="240">
        <f>C385</f>
        <v>6440657.4000000004</v>
      </c>
      <c r="L817" s="240">
        <f>C386+C387+C388+C389</f>
        <v>16498954.84</v>
      </c>
      <c r="M817" s="240">
        <f>C370</f>
        <v>5785671.5500000007</v>
      </c>
      <c r="N817" s="180">
        <f>D361</f>
        <v>1413260164.6799998</v>
      </c>
      <c r="O817" s="180">
        <f>C359</f>
        <v>578085548.32000005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7734375" defaultRowHeight="15" x14ac:dyDescent="0.2"/>
  <cols>
    <col min="1" max="1" width="2.77734375" customWidth="1"/>
    <col min="2" max="3" width="10.77734375" customWidth="1"/>
    <col min="4" max="4" width="2.77734375" customWidth="1"/>
    <col min="5" max="6" width="10.77734375" customWidth="1"/>
    <col min="7" max="7" width="2.77734375" customWidth="1"/>
    <col min="8" max="8" width="10.77734375" customWidth="1"/>
    <col min="9" max="10" width="8.77734375" customWidth="1"/>
    <col min="11" max="11" width="2.77734375" customWidth="1"/>
  </cols>
  <sheetData>
    <row r="1" spans="2:13" ht="15.75" thickBot="1" x14ac:dyDescent="0.25">
      <c r="J1" s="166" t="s">
        <v>1008</v>
      </c>
    </row>
    <row r="2" spans="2:13" ht="15.75" thickTop="1" x14ac:dyDescent="0.2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">
      <c r="B5" s="144"/>
      <c r="C5" s="8"/>
      <c r="D5" s="8"/>
      <c r="E5" s="8"/>
      <c r="F5" s="8"/>
      <c r="G5" s="8"/>
      <c r="H5" s="8"/>
      <c r="I5" s="8"/>
      <c r="J5" s="145"/>
    </row>
    <row r="6" spans="2:13" ht="15.75" thickBot="1" x14ac:dyDescent="0.25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75" thickTop="1" x14ac:dyDescent="0.2">
      <c r="B7" s="144"/>
      <c r="C7" s="8"/>
      <c r="D7" s="8"/>
      <c r="E7" s="8"/>
      <c r="F7" s="8"/>
      <c r="G7" s="8"/>
      <c r="H7" s="8"/>
      <c r="I7" s="8"/>
      <c r="J7" s="145"/>
    </row>
    <row r="8" spans="2:13" ht="15.75" thickBot="1" x14ac:dyDescent="0.25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75" thickTop="1" x14ac:dyDescent="0.2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75" thickBot="1" x14ac:dyDescent="0.25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75" thickTop="1" x14ac:dyDescent="0.2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75" thickBot="1" x14ac:dyDescent="0.25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75" thickTop="1" x14ac:dyDescent="0.2">
      <c r="B17" s="141"/>
      <c r="C17" s="150" t="s">
        <v>1014</v>
      </c>
      <c r="D17" s="150"/>
      <c r="E17" s="142" t="str">
        <f>+data!C84</f>
        <v>St. Francis Hospital</v>
      </c>
      <c r="F17" s="149"/>
      <c r="G17" s="149"/>
      <c r="H17" s="142"/>
      <c r="I17" s="142"/>
      <c r="J17" s="143"/>
    </row>
    <row r="18" spans="2:10" x14ac:dyDescent="0.2">
      <c r="B18" s="144"/>
      <c r="C18" s="151" t="s">
        <v>1015</v>
      </c>
      <c r="D18" s="151"/>
      <c r="E18" s="8" t="str">
        <f>+"H-"&amp;data!C83</f>
        <v>H-201</v>
      </c>
      <c r="F18" s="76"/>
      <c r="G18" s="76"/>
      <c r="H18" s="8"/>
      <c r="I18" s="8"/>
      <c r="J18" s="145"/>
    </row>
    <row r="19" spans="2:10" x14ac:dyDescent="0.2">
      <c r="B19" s="144"/>
      <c r="C19" s="151" t="s">
        <v>1016</v>
      </c>
      <c r="D19" s="151"/>
      <c r="E19" s="8" t="str">
        <f>+data!C85</f>
        <v>34515 9th Ave S</v>
      </c>
      <c r="F19" s="76"/>
      <c r="G19" s="76"/>
      <c r="H19" s="8"/>
      <c r="I19" s="8"/>
      <c r="J19" s="145"/>
    </row>
    <row r="20" spans="2:10" x14ac:dyDescent="0.2">
      <c r="B20" s="144"/>
      <c r="C20" s="151" t="s">
        <v>1017</v>
      </c>
      <c r="D20" s="151"/>
      <c r="E20" s="8" t="str">
        <f>+data!C86</f>
        <v>34515 9th Ave S</v>
      </c>
      <c r="F20" s="76"/>
      <c r="G20" s="76"/>
      <c r="H20" s="8"/>
      <c r="I20" s="8"/>
      <c r="J20" s="145"/>
    </row>
    <row r="21" spans="2:10" x14ac:dyDescent="0.2">
      <c r="B21" s="144"/>
      <c r="C21" s="151" t="s">
        <v>1018</v>
      </c>
      <c r="D21" s="151"/>
      <c r="E21" s="8" t="str">
        <f>+data!C87</f>
        <v>Federal Way, WA  98003</v>
      </c>
      <c r="F21" s="76"/>
      <c r="G21" s="76"/>
      <c r="H21" s="8"/>
      <c r="I21" s="8"/>
      <c r="J21" s="145"/>
    </row>
    <row r="22" spans="2:10" ht="15.75" thickBot="1" x14ac:dyDescent="0.25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75" thickTop="1" x14ac:dyDescent="0.2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">
      <c r="B28" s="144" t="str">
        <f>+"by the Department of Health for the fiscal year ended "&amp;data!C82&amp;"."</f>
        <v>by the Department of Health for the fiscal year ended 06/30/2020.</v>
      </c>
      <c r="C28" s="8"/>
      <c r="D28" s="8"/>
      <c r="E28" s="8"/>
      <c r="F28" s="8"/>
      <c r="G28" s="8"/>
      <c r="H28" s="8"/>
      <c r="I28" s="8"/>
      <c r="J28" s="145"/>
    </row>
    <row r="29" spans="2:10" x14ac:dyDescent="0.2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75" thickBot="1" x14ac:dyDescent="0.25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75" thickTop="1" x14ac:dyDescent="0.2"/>
    <row r="44" spans="2:10" x14ac:dyDescent="0.2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8671875" defaultRowHeight="18" customHeight="1" x14ac:dyDescent="0.2"/>
  <cols>
    <col min="1" max="1" width="4.77734375" style="2" customWidth="1"/>
    <col min="2" max="2" width="15.44140625" style="2" customWidth="1"/>
    <col min="3" max="3" width="4.77734375" style="2" customWidth="1"/>
    <col min="4" max="4" width="15.77734375" style="2" customWidth="1"/>
    <col min="5" max="5" width="4.77734375" style="2" customWidth="1"/>
    <col min="6" max="7" width="13.77734375" style="2" customWidth="1"/>
    <col min="8" max="16384" width="8.88671875" style="2"/>
  </cols>
  <sheetData>
    <row r="1" spans="1:13" ht="20.100000000000001" customHeight="1" x14ac:dyDescent="0.2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">
      <c r="A4" s="13">
        <v>1</v>
      </c>
      <c r="B4" s="127" t="str">
        <f>"Fiscal Year Ended:  "&amp;data!C82</f>
        <v>Fiscal Year Ended:  06/30/2020</v>
      </c>
      <c r="C4" s="38"/>
      <c r="D4" s="120"/>
      <c r="E4" s="70"/>
      <c r="F4" s="127" t="str">
        <f>"License Number:  "&amp;"H-"&amp;FIXED(data!C83,0)</f>
        <v>License Number:  H-201</v>
      </c>
      <c r="G4" s="24"/>
      <c r="H4" s="7"/>
    </row>
    <row r="5" spans="1:13" ht="20.100000000000001" customHeight="1" x14ac:dyDescent="0.2">
      <c r="A5" s="13">
        <v>2</v>
      </c>
      <c r="B5" s="49" t="s">
        <v>257</v>
      </c>
      <c r="C5" s="24"/>
      <c r="D5" s="127" t="str">
        <f>"  "&amp;data!C84</f>
        <v xml:space="preserve">  St. Francis Hospital</v>
      </c>
      <c r="E5" s="70"/>
      <c r="F5" s="70"/>
      <c r="G5" s="24"/>
      <c r="H5" s="7"/>
    </row>
    <row r="6" spans="1:13" ht="20.100000000000001" customHeight="1" x14ac:dyDescent="0.2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">
      <c r="A7" s="13">
        <v>4</v>
      </c>
      <c r="B7" s="49" t="s">
        <v>1029</v>
      </c>
      <c r="C7" s="24"/>
      <c r="D7" s="127" t="str">
        <f>"  "&amp;data!C89</f>
        <v xml:space="preserve">  Ketul Patel</v>
      </c>
      <c r="E7" s="70"/>
      <c r="F7" s="70"/>
      <c r="G7" s="24"/>
      <c r="H7" s="7"/>
    </row>
    <row r="8" spans="1:13" ht="20.100000000000001" customHeight="1" x14ac:dyDescent="0.2">
      <c r="A8" s="13">
        <v>5</v>
      </c>
      <c r="B8" s="49" t="s">
        <v>1030</v>
      </c>
      <c r="C8" s="24"/>
      <c r="D8" s="127" t="str">
        <f>"  "&amp;data!C90</f>
        <v xml:space="preserve">  Mike Fitzgerald</v>
      </c>
      <c r="E8" s="70"/>
      <c r="F8" s="70"/>
      <c r="G8" s="24"/>
      <c r="H8" s="7"/>
    </row>
    <row r="9" spans="1:13" ht="20.100000000000001" customHeight="1" x14ac:dyDescent="0.2">
      <c r="A9" s="13">
        <v>6</v>
      </c>
      <c r="B9" s="49" t="s">
        <v>1031</v>
      </c>
      <c r="C9" s="24"/>
      <c r="D9" s="127" t="str">
        <f>"  "&amp;data!C91</f>
        <v xml:space="preserve">  Uli Chi, PhD</v>
      </c>
      <c r="E9" s="70"/>
      <c r="F9" s="70"/>
      <c r="G9" s="24"/>
      <c r="H9" s="7"/>
    </row>
    <row r="10" spans="1:13" ht="20.100000000000001" customHeight="1" x14ac:dyDescent="0.2">
      <c r="A10" s="13">
        <v>7</v>
      </c>
      <c r="B10" s="49" t="s">
        <v>1032</v>
      </c>
      <c r="C10" s="24"/>
      <c r="D10" s="127" t="str">
        <f>"  "&amp;data!C92</f>
        <v xml:space="preserve">  253-944-8100</v>
      </c>
      <c r="E10" s="70"/>
      <c r="F10" s="70"/>
      <c r="G10" s="24"/>
      <c r="H10" s="7"/>
    </row>
    <row r="11" spans="1:13" ht="20.100000000000001" customHeight="1" x14ac:dyDescent="0.2">
      <c r="A11" s="13">
        <v>8</v>
      </c>
      <c r="B11" s="49" t="s">
        <v>1033</v>
      </c>
      <c r="C11" s="24"/>
      <c r="D11" s="127" t="str">
        <f>"  "&amp;data!C93</f>
        <v xml:space="preserve">  253-428-8313</v>
      </c>
      <c r="E11" s="70"/>
      <c r="F11" s="70"/>
      <c r="G11" s="24"/>
      <c r="H11" s="7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">
      <c r="A23" s="130"/>
      <c r="B23" s="49" t="s">
        <v>1039</v>
      </c>
      <c r="C23" s="38"/>
      <c r="D23" s="38"/>
      <c r="E23" s="38"/>
      <c r="F23" s="13">
        <f>data!C111</f>
        <v>7150</v>
      </c>
      <c r="G23" s="21">
        <f>data!D111</f>
        <v>29920</v>
      </c>
      <c r="H23" s="7"/>
    </row>
    <row r="24" spans="1:9" ht="20.100000000000001" customHeight="1" x14ac:dyDescent="0.2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">
      <c r="A26" s="13">
        <v>11</v>
      </c>
      <c r="B26" s="49" t="s">
        <v>281</v>
      </c>
      <c r="C26" s="38"/>
      <c r="D26" s="38"/>
      <c r="E26" s="38"/>
      <c r="F26" s="13">
        <f>data!C114</f>
        <v>1178</v>
      </c>
      <c r="G26" s="13">
        <f>data!D114</f>
        <v>1715</v>
      </c>
      <c r="H26" s="7"/>
    </row>
    <row r="27" spans="1:9" ht="20.100000000000001" customHeight="1" x14ac:dyDescent="0.2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">
      <c r="A30" s="130"/>
      <c r="B30" s="49" t="s">
        <v>283</v>
      </c>
      <c r="C30" s="24"/>
      <c r="D30" s="21">
        <f>data!C116</f>
        <v>14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">
      <c r="A31" s="130"/>
      <c r="B31" s="97" t="s">
        <v>1043</v>
      </c>
      <c r="C31" s="24"/>
      <c r="D31" s="21">
        <f>data!C117</f>
        <v>16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">
      <c r="A32" s="130"/>
      <c r="B32" s="97" t="s">
        <v>1044</v>
      </c>
      <c r="C32" s="24"/>
      <c r="D32" s="21">
        <f>data!C118</f>
        <v>72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6</v>
      </c>
      <c r="H33" s="7"/>
    </row>
    <row r="34" spans="1:8" ht="20.100000000000001" customHeight="1" x14ac:dyDescent="0.2">
      <c r="A34" s="130"/>
      <c r="B34" s="97" t="s">
        <v>1048</v>
      </c>
      <c r="C34" s="24"/>
      <c r="D34" s="21">
        <f>data!C120</f>
        <v>16</v>
      </c>
      <c r="E34" s="49" t="s">
        <v>291</v>
      </c>
      <c r="F34" s="24"/>
      <c r="G34" s="21">
        <f>data!E127</f>
        <v>124</v>
      </c>
      <c r="H34" s="7"/>
    </row>
    <row r="35" spans="1:8" ht="20.100000000000001" customHeight="1" x14ac:dyDescent="0.2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124</v>
      </c>
      <c r="H36" s="7"/>
    </row>
    <row r="37" spans="1:8" ht="20.100000000000001" customHeight="1" x14ac:dyDescent="0.2">
      <c r="A37" s="130"/>
      <c r="E37" s="49" t="s">
        <v>293</v>
      </c>
      <c r="F37" s="24"/>
      <c r="G37" s="21">
        <f>data!C129</f>
        <v>18</v>
      </c>
      <c r="H37" s="7"/>
    </row>
    <row r="38" spans="1:8" ht="20.100000000000001" customHeight="1" x14ac:dyDescent="0.2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8671875" defaultRowHeight="20.100000000000001" customHeight="1" x14ac:dyDescent="0.2"/>
  <cols>
    <col min="1" max="1" width="10.33203125" style="2" customWidth="1"/>
    <col min="2" max="2" width="10.77734375" style="2" customWidth="1"/>
    <col min="3" max="3" width="12.77734375" style="2" customWidth="1"/>
    <col min="4" max="4" width="11.77734375" style="2" customWidth="1"/>
    <col min="5" max="6" width="13.77734375" style="2" customWidth="1"/>
    <col min="7" max="7" width="14.77734375" style="2" customWidth="1"/>
    <col min="8" max="16384" width="8.88671875" style="2"/>
  </cols>
  <sheetData>
    <row r="1" spans="1:13" ht="20.100000000000001" customHeight="1" x14ac:dyDescent="0.2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">
      <c r="A2" s="105" t="str">
        <f>"Hospital Name: "&amp;data!C84</f>
        <v>Hospital Name: St. Francis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">
      <c r="A3" s="8"/>
      <c r="B3" s="8"/>
      <c r="C3" s="8"/>
      <c r="D3" s="8"/>
      <c r="E3" s="8"/>
      <c r="F3" s="8"/>
      <c r="G3" s="106" t="str">
        <f>"FYE: "&amp;data!C82</f>
        <v>FYE: 06/30/2020</v>
      </c>
    </row>
    <row r="4" spans="1:13" ht="20.100000000000001" customHeight="1" x14ac:dyDescent="0.2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">
      <c r="A7" s="23" t="s">
        <v>296</v>
      </c>
      <c r="B7" s="48">
        <f>data!B138</f>
        <v>2969</v>
      </c>
      <c r="C7" s="48">
        <f>data!B139</f>
        <v>16326</v>
      </c>
      <c r="D7" s="48">
        <f>data!B140</f>
        <v>0</v>
      </c>
      <c r="E7" s="48">
        <f>data!B141</f>
        <v>251500407.47</v>
      </c>
      <c r="F7" s="48">
        <f>data!B142</f>
        <v>306352910</v>
      </c>
      <c r="G7" s="48">
        <f>data!B141+data!B142</f>
        <v>557853317.47000003</v>
      </c>
    </row>
    <row r="8" spans="1:13" ht="20.100000000000001" customHeight="1" x14ac:dyDescent="0.2">
      <c r="A8" s="23" t="s">
        <v>297</v>
      </c>
      <c r="B8" s="48">
        <f>data!C138</f>
        <v>2114</v>
      </c>
      <c r="C8" s="48">
        <f>data!C139</f>
        <v>7424</v>
      </c>
      <c r="D8" s="48">
        <f>data!C140</f>
        <v>0</v>
      </c>
      <c r="E8" s="48">
        <f>data!C141</f>
        <v>129616015.59999999</v>
      </c>
      <c r="F8" s="48">
        <f>data!C142</f>
        <v>200129435.09999999</v>
      </c>
      <c r="G8" s="48">
        <f>data!C141+data!C142</f>
        <v>329745450.69999999</v>
      </c>
    </row>
    <row r="9" spans="1:13" ht="20.100000000000001" customHeight="1" x14ac:dyDescent="0.2">
      <c r="A9" s="23" t="s">
        <v>1058</v>
      </c>
      <c r="B9" s="48">
        <f>data!D138</f>
        <v>2067</v>
      </c>
      <c r="C9" s="48">
        <f>data!D139</f>
        <v>6170</v>
      </c>
      <c r="D9" s="48">
        <f>data!D140</f>
        <v>0</v>
      </c>
      <c r="E9" s="48">
        <f>data!D141</f>
        <v>169888457.21000001</v>
      </c>
      <c r="F9" s="48">
        <f>data!D142</f>
        <v>354206825.36000001</v>
      </c>
      <c r="G9" s="48">
        <f>data!D141+data!D142</f>
        <v>524095282.57000005</v>
      </c>
    </row>
    <row r="10" spans="1:13" ht="20.100000000000001" customHeight="1" x14ac:dyDescent="0.2">
      <c r="A10" s="111" t="s">
        <v>203</v>
      </c>
      <c r="B10" s="48">
        <f>data!E138</f>
        <v>7150</v>
      </c>
      <c r="C10" s="48">
        <f>data!E139</f>
        <v>29920</v>
      </c>
      <c r="D10" s="48">
        <f>data!E140</f>
        <v>0</v>
      </c>
      <c r="E10" s="48">
        <f>data!E141</f>
        <v>551004880.27999997</v>
      </c>
      <c r="F10" s="48">
        <f>data!E142</f>
        <v>860689170.46000004</v>
      </c>
      <c r="G10" s="48">
        <f>data!E141+data!E142</f>
        <v>1411694050.74</v>
      </c>
    </row>
    <row r="11" spans="1:13" ht="20.100000000000001" customHeight="1" x14ac:dyDescent="0.2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8671875" defaultRowHeight="14.25" x14ac:dyDescent="0.2"/>
  <cols>
    <col min="1" max="1" width="5.77734375" style="2" customWidth="1"/>
    <col min="2" max="2" width="54.109375" style="2" customWidth="1"/>
    <col min="3" max="3" width="13.77734375" style="2" customWidth="1"/>
    <col min="4" max="16384" width="8.88671875" style="2"/>
  </cols>
  <sheetData>
    <row r="1" spans="1:13" ht="20.100000000000001" customHeight="1" x14ac:dyDescent="0.2">
      <c r="A1" s="4" t="s">
        <v>305</v>
      </c>
      <c r="B1" s="5"/>
      <c r="C1" s="167" t="s">
        <v>1064</v>
      </c>
    </row>
    <row r="2" spans="1:13" ht="20.100000000000001" customHeight="1" x14ac:dyDescent="0.2">
      <c r="A2" s="94"/>
      <c r="B2" s="8"/>
      <c r="C2" s="8"/>
    </row>
    <row r="3" spans="1:13" ht="20.100000000000001" customHeight="1" x14ac:dyDescent="0.2">
      <c r="A3" s="29" t="str">
        <f>"Hospital: "&amp;data!C84</f>
        <v>Hospital: St. Francis Hospital</v>
      </c>
      <c r="B3" s="30"/>
      <c r="C3" s="31" t="str">
        <f>"FYE: "&amp;data!C82</f>
        <v>FYE: 06/30/2020</v>
      </c>
    </row>
    <row r="4" spans="1:13" ht="20.100000000000001" customHeight="1" x14ac:dyDescent="0.2">
      <c r="A4" s="30"/>
      <c r="B4" s="8"/>
      <c r="C4" s="8"/>
    </row>
    <row r="5" spans="1:13" ht="20.100000000000001" customHeight="1" x14ac:dyDescent="0.2">
      <c r="A5" s="23">
        <v>1</v>
      </c>
      <c r="B5" s="37" t="s">
        <v>306</v>
      </c>
      <c r="C5" s="95"/>
    </row>
    <row r="6" spans="1:13" ht="20.100000000000001" customHeight="1" x14ac:dyDescent="0.2">
      <c r="A6" s="96">
        <v>2</v>
      </c>
      <c r="B6" s="49" t="s">
        <v>1065</v>
      </c>
      <c r="C6" s="13">
        <f>data!C165</f>
        <v>7371020.0800000001</v>
      </c>
    </row>
    <row r="7" spans="1:13" ht="20.100000000000001" customHeight="1" x14ac:dyDescent="0.2">
      <c r="A7" s="40">
        <v>3</v>
      </c>
      <c r="B7" s="97" t="s">
        <v>308</v>
      </c>
      <c r="C7" s="13">
        <f>data!C166</f>
        <v>385514.44</v>
      </c>
    </row>
    <row r="8" spans="1:13" ht="20.100000000000001" customHeight="1" x14ac:dyDescent="0.2">
      <c r="A8" s="40">
        <v>4</v>
      </c>
      <c r="B8" s="49" t="s">
        <v>309</v>
      </c>
      <c r="C8" s="13">
        <f>data!C167</f>
        <v>599228.39</v>
      </c>
    </row>
    <row r="9" spans="1:13" ht="20.100000000000001" customHeight="1" x14ac:dyDescent="0.2">
      <c r="A9" s="40">
        <v>5</v>
      </c>
      <c r="B9" s="49" t="s">
        <v>310</v>
      </c>
      <c r="C9" s="13">
        <f>data!C168</f>
        <v>11936814.34</v>
      </c>
    </row>
    <row r="10" spans="1:13" ht="20.100000000000001" customHeight="1" x14ac:dyDescent="0.2">
      <c r="A10" s="40">
        <v>6</v>
      </c>
      <c r="B10" s="49" t="s">
        <v>311</v>
      </c>
      <c r="C10" s="13">
        <f>data!C169</f>
        <v>238371.68</v>
      </c>
    </row>
    <row r="11" spans="1:13" ht="20.100000000000001" customHeight="1" x14ac:dyDescent="0.2">
      <c r="A11" s="40">
        <v>7</v>
      </c>
      <c r="B11" s="49" t="s">
        <v>312</v>
      </c>
      <c r="C11" s="13">
        <f>data!C170</f>
        <v>5166318.51</v>
      </c>
    </row>
    <row r="12" spans="1:13" ht="20.100000000000001" customHeight="1" x14ac:dyDescent="0.2">
      <c r="A12" s="40">
        <v>8</v>
      </c>
      <c r="B12" s="49" t="s">
        <v>313</v>
      </c>
      <c r="C12" s="13">
        <f>data!C171</f>
        <v>1274936.23</v>
      </c>
    </row>
    <row r="13" spans="1:13" ht="20.100000000000001" customHeight="1" x14ac:dyDescent="0.2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">
      <c r="A14" s="40">
        <v>10</v>
      </c>
      <c r="B14" s="49" t="s">
        <v>1066</v>
      </c>
      <c r="C14" s="13">
        <f>data!D173</f>
        <v>26972203.669999998</v>
      </c>
    </row>
    <row r="15" spans="1:13" ht="20.100000000000001" customHeight="1" x14ac:dyDescent="0.2">
      <c r="A15" s="57"/>
      <c r="B15" s="45"/>
      <c r="C15" s="98"/>
      <c r="M15" s="180"/>
    </row>
    <row r="16" spans="1:13" ht="20.100000000000001" customHeight="1" x14ac:dyDescent="0.2">
      <c r="A16" s="73"/>
      <c r="B16" s="30"/>
      <c r="C16" s="20"/>
    </row>
    <row r="17" spans="1:3" ht="20.100000000000001" customHeight="1" x14ac:dyDescent="0.2">
      <c r="A17" s="99">
        <v>11</v>
      </c>
      <c r="B17" s="100" t="s">
        <v>314</v>
      </c>
      <c r="C17" s="101"/>
    </row>
    <row r="18" spans="1:3" ht="20.100000000000001" customHeight="1" x14ac:dyDescent="0.2">
      <c r="A18" s="13">
        <v>12</v>
      </c>
      <c r="B18" s="49" t="s">
        <v>1067</v>
      </c>
      <c r="C18" s="13">
        <f>data!C175</f>
        <v>6187772.0299999993</v>
      </c>
    </row>
    <row r="19" spans="1:3" ht="20.100000000000001" customHeight="1" x14ac:dyDescent="0.2">
      <c r="A19" s="13">
        <v>13</v>
      </c>
      <c r="B19" s="49" t="s">
        <v>1068</v>
      </c>
      <c r="C19" s="13">
        <f>data!C176</f>
        <v>1238566.4699999997</v>
      </c>
    </row>
    <row r="20" spans="1:3" ht="20.100000000000001" customHeight="1" x14ac:dyDescent="0.2">
      <c r="A20" s="13">
        <v>14</v>
      </c>
      <c r="B20" s="49" t="s">
        <v>1069</v>
      </c>
      <c r="C20" s="13">
        <f>data!D177</f>
        <v>7426338.4999999991</v>
      </c>
    </row>
    <row r="21" spans="1:3" ht="20.100000000000001" customHeight="1" x14ac:dyDescent="0.2">
      <c r="A21" s="57"/>
      <c r="B21" s="45"/>
      <c r="C21" s="98"/>
    </row>
    <row r="22" spans="1:3" ht="20.100000000000001" customHeight="1" x14ac:dyDescent="0.2">
      <c r="A22" s="73"/>
      <c r="B22" s="8"/>
      <c r="C22" s="44"/>
    </row>
    <row r="23" spans="1:3" ht="20.100000000000001" customHeight="1" x14ac:dyDescent="0.2">
      <c r="A23" s="102">
        <v>15</v>
      </c>
      <c r="B23" s="103" t="s">
        <v>317</v>
      </c>
      <c r="C23" s="95"/>
    </row>
    <row r="24" spans="1:3" ht="20.100000000000001" customHeight="1" x14ac:dyDescent="0.2">
      <c r="A24" s="13">
        <v>16</v>
      </c>
      <c r="B24" s="37" t="s">
        <v>1070</v>
      </c>
      <c r="C24" s="104"/>
    </row>
    <row r="25" spans="1:3" ht="20.100000000000001" customHeight="1" x14ac:dyDescent="0.2">
      <c r="A25" s="13">
        <v>17</v>
      </c>
      <c r="B25" s="49" t="s">
        <v>1071</v>
      </c>
      <c r="C25" s="13">
        <f>data!C179</f>
        <v>2713401.26</v>
      </c>
    </row>
    <row r="26" spans="1:3" ht="20.100000000000001" customHeight="1" x14ac:dyDescent="0.2">
      <c r="A26" s="13">
        <v>18</v>
      </c>
      <c r="B26" s="49" t="s">
        <v>319</v>
      </c>
      <c r="C26" s="13">
        <f>data!C180</f>
        <v>82237.950000000012</v>
      </c>
    </row>
    <row r="27" spans="1:3" ht="20.100000000000001" customHeight="1" x14ac:dyDescent="0.2">
      <c r="A27" s="13">
        <v>19</v>
      </c>
      <c r="B27" s="49" t="s">
        <v>1072</v>
      </c>
      <c r="C27" s="13">
        <f>data!D181</f>
        <v>2795639.21</v>
      </c>
    </row>
    <row r="28" spans="1:3" ht="20.100000000000001" customHeight="1" x14ac:dyDescent="0.2">
      <c r="A28" s="57"/>
      <c r="B28" s="45"/>
      <c r="C28" s="98"/>
    </row>
    <row r="29" spans="1:3" ht="20.100000000000001" customHeight="1" x14ac:dyDescent="0.2">
      <c r="A29" s="73"/>
      <c r="B29" s="30"/>
      <c r="C29" s="20"/>
    </row>
    <row r="30" spans="1:3" ht="20.100000000000001" customHeight="1" x14ac:dyDescent="0.2">
      <c r="A30" s="102">
        <v>20</v>
      </c>
      <c r="B30" s="43" t="s">
        <v>1073</v>
      </c>
      <c r="C30" s="34"/>
    </row>
    <row r="31" spans="1:3" ht="20.100000000000001" customHeight="1" x14ac:dyDescent="0.2">
      <c r="A31" s="13">
        <v>21</v>
      </c>
      <c r="B31" s="49" t="s">
        <v>321</v>
      </c>
      <c r="C31" s="13">
        <f>data!C183</f>
        <v>134056.85999999999</v>
      </c>
    </row>
    <row r="32" spans="1:3" ht="20.100000000000001" customHeight="1" x14ac:dyDescent="0.2">
      <c r="A32" s="13">
        <v>22</v>
      </c>
      <c r="B32" s="49" t="s">
        <v>1074</v>
      </c>
      <c r="C32" s="13">
        <f>data!C184</f>
        <v>8993681.3100000005</v>
      </c>
    </row>
    <row r="33" spans="1:3" ht="20.100000000000001" customHeight="1" x14ac:dyDescent="0.2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">
      <c r="A34" s="13">
        <v>24</v>
      </c>
      <c r="B34" s="49" t="s">
        <v>1075</v>
      </c>
      <c r="C34" s="13">
        <f>data!D186</f>
        <v>9127738.1699999999</v>
      </c>
    </row>
    <row r="35" spans="1:3" ht="20.100000000000001" customHeight="1" x14ac:dyDescent="0.2">
      <c r="A35" s="57"/>
      <c r="B35" s="45"/>
      <c r="C35" s="98"/>
    </row>
    <row r="36" spans="1:3" ht="20.100000000000001" customHeight="1" x14ac:dyDescent="0.2">
      <c r="A36" s="73"/>
      <c r="B36" s="30"/>
      <c r="C36" s="20"/>
    </row>
    <row r="37" spans="1:3" ht="20.100000000000001" customHeight="1" x14ac:dyDescent="0.2">
      <c r="A37" s="102">
        <v>25</v>
      </c>
      <c r="B37" s="43" t="s">
        <v>323</v>
      </c>
      <c r="C37" s="95"/>
    </row>
    <row r="38" spans="1:3" ht="20.100000000000001" customHeight="1" x14ac:dyDescent="0.2">
      <c r="A38" s="13">
        <v>26</v>
      </c>
      <c r="B38" s="49" t="s">
        <v>1076</v>
      </c>
      <c r="C38" s="13">
        <f>data!C188</f>
        <v>68687.81</v>
      </c>
    </row>
    <row r="39" spans="1:3" ht="20.100000000000001" customHeight="1" x14ac:dyDescent="0.2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">
      <c r="A40" s="13">
        <v>28</v>
      </c>
      <c r="B40" s="49" t="s">
        <v>1077</v>
      </c>
      <c r="C40" s="13">
        <f>data!D190</f>
        <v>68687.81</v>
      </c>
    </row>
    <row r="41" spans="1:3" x14ac:dyDescent="0.2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8671875" defaultRowHeight="20.100000000000001" customHeight="1" x14ac:dyDescent="0.2"/>
  <cols>
    <col min="1" max="1" width="5.77734375" style="7" customWidth="1"/>
    <col min="2" max="2" width="22.5546875" style="7" customWidth="1"/>
    <col min="3" max="5" width="13.77734375" style="7" customWidth="1"/>
    <col min="6" max="6" width="15.77734375" style="7" customWidth="1"/>
    <col min="7" max="16384" width="8.88671875" style="7"/>
  </cols>
  <sheetData>
    <row r="1" spans="1:13" ht="20.100000000000001" customHeight="1" x14ac:dyDescent="0.2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">
      <c r="A2" s="8"/>
      <c r="B2" s="8"/>
      <c r="C2" s="8"/>
      <c r="D2" s="8"/>
      <c r="E2" s="8"/>
      <c r="F2" s="8"/>
    </row>
    <row r="3" spans="1:13" ht="20.100000000000001" customHeight="1" x14ac:dyDescent="0.2">
      <c r="A3" s="10" t="str">
        <f>"Hospital: "&amp;data!C84</f>
        <v>Hospital: St. Francis Hospital</v>
      </c>
      <c r="B3" s="8"/>
      <c r="C3" s="8"/>
      <c r="E3" s="11"/>
      <c r="F3" s="12" t="str">
        <f>" FYE: "&amp;data!C82</f>
        <v xml:space="preserve"> FYE: 06/30/2020</v>
      </c>
    </row>
    <row r="4" spans="1:13" ht="20.100000000000001" customHeight="1" x14ac:dyDescent="0.2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">
      <c r="A7" s="13">
        <v>1</v>
      </c>
      <c r="B7" s="14" t="s">
        <v>332</v>
      </c>
      <c r="C7" s="21">
        <f>data!B195</f>
        <v>7206096.9900000002</v>
      </c>
      <c r="D7" s="21">
        <f>data!C195</f>
        <v>0</v>
      </c>
      <c r="E7" s="21">
        <f>data!D195</f>
        <v>0</v>
      </c>
      <c r="F7" s="21">
        <f>data!E195</f>
        <v>7206096.9900000002</v>
      </c>
    </row>
    <row r="8" spans="1:13" ht="20.100000000000001" customHeight="1" x14ac:dyDescent="0.2">
      <c r="A8" s="13">
        <v>2</v>
      </c>
      <c r="B8" s="14" t="s">
        <v>333</v>
      </c>
      <c r="C8" s="21">
        <f>data!B196</f>
        <v>2932921.47</v>
      </c>
      <c r="D8" s="21">
        <f>data!C196</f>
        <v>0</v>
      </c>
      <c r="E8" s="21">
        <f>data!D196</f>
        <v>0</v>
      </c>
      <c r="F8" s="21">
        <f>data!E196</f>
        <v>2932921.47</v>
      </c>
    </row>
    <row r="9" spans="1:13" ht="20.100000000000001" customHeight="1" x14ac:dyDescent="0.2">
      <c r="A9" s="13">
        <v>3</v>
      </c>
      <c r="B9" s="14" t="s">
        <v>334</v>
      </c>
      <c r="C9" s="21">
        <f>data!B197</f>
        <v>62428181.890000001</v>
      </c>
      <c r="D9" s="21">
        <f>data!C197</f>
        <v>2054254.85</v>
      </c>
      <c r="E9" s="21">
        <f>data!D197</f>
        <v>0</v>
      </c>
      <c r="F9" s="21">
        <f>data!E197</f>
        <v>64482436.740000002</v>
      </c>
    </row>
    <row r="10" spans="1:13" ht="20.100000000000001" customHeight="1" x14ac:dyDescent="0.2">
      <c r="A10" s="13">
        <v>4</v>
      </c>
      <c r="B10" s="14" t="s">
        <v>1083</v>
      </c>
      <c r="C10" s="21">
        <f>data!B198</f>
        <v>21682301.73</v>
      </c>
      <c r="D10" s="21">
        <f>data!C198</f>
        <v>968360.53</v>
      </c>
      <c r="E10" s="21">
        <f>data!D198</f>
        <v>0</v>
      </c>
      <c r="F10" s="21">
        <f>data!E198</f>
        <v>22650662.260000002</v>
      </c>
    </row>
    <row r="11" spans="1:13" ht="20.100000000000001" customHeight="1" x14ac:dyDescent="0.2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">
      <c r="A12" s="13">
        <v>6</v>
      </c>
      <c r="B12" s="14" t="s">
        <v>1085</v>
      </c>
      <c r="C12" s="21">
        <f>data!B200</f>
        <v>114086139.28</v>
      </c>
      <c r="D12" s="21">
        <f>data!C200</f>
        <v>5391859.3200000003</v>
      </c>
      <c r="E12" s="21">
        <f>data!D200</f>
        <v>2686893.02</v>
      </c>
      <c r="F12" s="21">
        <f>data!E200</f>
        <v>116791105.58</v>
      </c>
    </row>
    <row r="13" spans="1:13" ht="20.100000000000001" customHeight="1" x14ac:dyDescent="0.2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">
      <c r="A14" s="13">
        <v>8</v>
      </c>
      <c r="B14" s="14" t="s">
        <v>339</v>
      </c>
      <c r="C14" s="21">
        <f>data!B202</f>
        <v>14806020.399999999</v>
      </c>
      <c r="D14" s="21">
        <f>data!C202</f>
        <v>1746883</v>
      </c>
      <c r="E14" s="21">
        <f>data!D202</f>
        <v>358140.35</v>
      </c>
      <c r="F14" s="21">
        <f>data!E202</f>
        <v>16194763.049999999</v>
      </c>
    </row>
    <row r="15" spans="1:13" ht="20.100000000000001" customHeight="1" x14ac:dyDescent="0.2">
      <c r="A15" s="13">
        <v>9</v>
      </c>
      <c r="B15" s="14" t="s">
        <v>1087</v>
      </c>
      <c r="C15" s="21">
        <f>data!B203</f>
        <v>2231660.66</v>
      </c>
      <c r="D15" s="21">
        <f>data!C203</f>
        <v>3731645.13</v>
      </c>
      <c r="E15" s="21">
        <f>data!D203</f>
        <v>4797551.84</v>
      </c>
      <c r="F15" s="21">
        <f>data!E203</f>
        <v>1165753.9500000002</v>
      </c>
      <c r="M15" s="269"/>
    </row>
    <row r="16" spans="1:13" ht="20.100000000000001" customHeight="1" x14ac:dyDescent="0.2">
      <c r="A16" s="13">
        <v>10</v>
      </c>
      <c r="B16" s="14" t="s">
        <v>661</v>
      </c>
      <c r="C16" s="21">
        <f>data!B204</f>
        <v>225373322.42000002</v>
      </c>
      <c r="D16" s="21">
        <f>data!C204</f>
        <v>13893002.829999998</v>
      </c>
      <c r="E16" s="21">
        <f>data!D204</f>
        <v>7842585.21</v>
      </c>
      <c r="F16" s="21">
        <f>data!E204</f>
        <v>231423740.04000002</v>
      </c>
    </row>
    <row r="17" spans="1:6" ht="20.100000000000001" customHeight="1" x14ac:dyDescent="0.2">
      <c r="A17" s="73"/>
      <c r="B17" s="30"/>
      <c r="C17" s="30"/>
      <c r="D17" s="30"/>
      <c r="E17" s="30"/>
      <c r="F17" s="20"/>
    </row>
    <row r="18" spans="1:6" ht="20.100000000000001" customHeight="1" x14ac:dyDescent="0.2">
      <c r="A18" s="74"/>
      <c r="B18" s="8"/>
      <c r="C18" s="8"/>
      <c r="D18" s="8"/>
      <c r="E18" s="8"/>
      <c r="F18" s="28"/>
    </row>
    <row r="19" spans="1:6" ht="20.100000000000001" customHeight="1" x14ac:dyDescent="0.2">
      <c r="A19" s="74"/>
      <c r="B19" s="8"/>
      <c r="C19" s="8"/>
      <c r="D19" s="8"/>
      <c r="E19" s="8"/>
      <c r="F19" s="28"/>
    </row>
    <row r="20" spans="1:6" ht="20.100000000000001" customHeight="1" x14ac:dyDescent="0.2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">
      <c r="A24" s="13">
        <v>12</v>
      </c>
      <c r="B24" s="14" t="s">
        <v>333</v>
      </c>
      <c r="C24" s="21">
        <f>data!B209</f>
        <v>2153905.6</v>
      </c>
      <c r="D24" s="21">
        <f>data!C209</f>
        <v>110493.45</v>
      </c>
      <c r="E24" s="21">
        <f>data!D209</f>
        <v>0</v>
      </c>
      <c r="F24" s="21">
        <f>data!E209</f>
        <v>2264399.0500000003</v>
      </c>
    </row>
    <row r="25" spans="1:6" ht="20.100000000000001" customHeight="1" x14ac:dyDescent="0.2">
      <c r="A25" s="13">
        <v>13</v>
      </c>
      <c r="B25" s="14" t="s">
        <v>334</v>
      </c>
      <c r="C25" s="21">
        <f>data!B210</f>
        <v>21509536.720000003</v>
      </c>
      <c r="D25" s="21">
        <f>data!C210</f>
        <v>2452978.2599999998</v>
      </c>
      <c r="E25" s="21">
        <f>data!D210</f>
        <v>-10183.880000000001</v>
      </c>
      <c r="F25" s="21">
        <f>data!E210</f>
        <v>23972698.860000003</v>
      </c>
    </row>
    <row r="26" spans="1:6" ht="20.100000000000001" customHeight="1" x14ac:dyDescent="0.2">
      <c r="A26" s="13">
        <v>14</v>
      </c>
      <c r="B26" s="14" t="s">
        <v>1083</v>
      </c>
      <c r="C26" s="21">
        <f>data!B211</f>
        <v>16378577.700000001</v>
      </c>
      <c r="D26" s="21">
        <f>data!C211</f>
        <v>606177.89999999991</v>
      </c>
      <c r="E26" s="21">
        <f>data!D211</f>
        <v>-17577.97</v>
      </c>
      <c r="F26" s="21">
        <f>data!E211</f>
        <v>17002333.57</v>
      </c>
    </row>
    <row r="27" spans="1:6" ht="20.100000000000001" customHeight="1" x14ac:dyDescent="0.2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">
      <c r="A28" s="13">
        <v>16</v>
      </c>
      <c r="B28" s="14" t="s">
        <v>1085</v>
      </c>
      <c r="C28" s="21">
        <f>data!B213</f>
        <v>83915027.310000002</v>
      </c>
      <c r="D28" s="21">
        <f>data!C213</f>
        <v>8966498.4999999981</v>
      </c>
      <c r="E28" s="21">
        <f>data!D213</f>
        <v>492959.64000000036</v>
      </c>
      <c r="F28" s="21">
        <f>data!E213</f>
        <v>92388566.170000002</v>
      </c>
    </row>
    <row r="29" spans="1:6" ht="20.100000000000001" customHeight="1" x14ac:dyDescent="0.2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">
      <c r="A30" s="13">
        <v>18</v>
      </c>
      <c r="B30" s="14" t="s">
        <v>339</v>
      </c>
      <c r="C30" s="21">
        <f>data!B215</f>
        <v>8738674</v>
      </c>
      <c r="D30" s="21">
        <f>data!C215</f>
        <v>1469442.37</v>
      </c>
      <c r="E30" s="21">
        <f>data!D215</f>
        <v>-274309.63</v>
      </c>
      <c r="F30" s="21">
        <f>data!E215</f>
        <v>10482426.000000002</v>
      </c>
    </row>
    <row r="31" spans="1:6" ht="20.100000000000001" customHeight="1" x14ac:dyDescent="0.2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">
      <c r="A32" s="13">
        <v>20</v>
      </c>
      <c r="B32" s="14" t="s">
        <v>661</v>
      </c>
      <c r="C32" s="21">
        <f>data!B217</f>
        <v>132695721.33000001</v>
      </c>
      <c r="D32" s="21">
        <f>data!C217</f>
        <v>13605590.479999997</v>
      </c>
      <c r="E32" s="21">
        <f>data!D217</f>
        <v>190888.16000000038</v>
      </c>
      <c r="F32" s="21">
        <f>data!E217</f>
        <v>146110423.65000001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8671875" defaultRowHeight="20.100000000000001" customHeight="1" x14ac:dyDescent="0.2"/>
  <cols>
    <col min="1" max="1" width="5.77734375" style="7" customWidth="1"/>
    <col min="2" max="2" width="7.77734375" style="7" customWidth="1"/>
    <col min="3" max="3" width="40.77734375" style="7" customWidth="1"/>
    <col min="4" max="4" width="15.77734375" style="7" customWidth="1"/>
    <col min="5" max="16384" width="8.88671875" style="7"/>
  </cols>
  <sheetData>
    <row r="1" spans="1:13" ht="20.100000000000001" customHeight="1" x14ac:dyDescent="0.2">
      <c r="A1" s="6" t="s">
        <v>1089</v>
      </c>
      <c r="B1" s="6"/>
      <c r="C1" s="6"/>
      <c r="D1" s="169" t="s">
        <v>1090</v>
      </c>
    </row>
    <row r="2" spans="1:13" ht="20.100000000000001" customHeight="1" x14ac:dyDescent="0.2">
      <c r="A2" s="29" t="str">
        <f>"Hospital: "&amp;data!C84</f>
        <v>Hospital: St. Francis Hospital</v>
      </c>
      <c r="B2" s="30"/>
      <c r="C2" s="30"/>
      <c r="D2" s="31" t="str">
        <f>"FYE: "&amp;data!C82</f>
        <v>FYE: 06/30/2020</v>
      </c>
    </row>
    <row r="3" spans="1:13" ht="20.100000000000001" customHeight="1" x14ac:dyDescent="0.2">
      <c r="A3" s="42"/>
      <c r="B3" s="52"/>
      <c r="C3" s="52"/>
      <c r="D3" s="52"/>
    </row>
    <row r="4" spans="1:13" ht="20.100000000000001" customHeight="1" x14ac:dyDescent="0.2">
      <c r="A4" s="53"/>
      <c r="B4" s="41" t="s">
        <v>1091</v>
      </c>
      <c r="C4" s="41" t="s">
        <v>1092</v>
      </c>
      <c r="D4" s="54"/>
    </row>
    <row r="5" spans="1:13" ht="20.100000000000001" customHeight="1" x14ac:dyDescent="0.2">
      <c r="A5" s="102">
        <v>1</v>
      </c>
      <c r="B5" s="55"/>
      <c r="C5" s="22" t="s">
        <v>1255</v>
      </c>
      <c r="D5" s="14">
        <f>data!D221</f>
        <v>-5866430.8600000003</v>
      </c>
    </row>
    <row r="6" spans="1:13" ht="20.100000000000001" customHeight="1" x14ac:dyDescent="0.2">
      <c r="A6" s="13">
        <v>2</v>
      </c>
      <c r="B6" s="30"/>
      <c r="C6" s="31" t="s">
        <v>432</v>
      </c>
      <c r="D6" s="25"/>
    </row>
    <row r="7" spans="1:13" ht="20.100000000000001" customHeight="1" x14ac:dyDescent="0.2">
      <c r="A7" s="13">
        <v>3</v>
      </c>
      <c r="B7" s="55">
        <v>5810</v>
      </c>
      <c r="C7" s="14" t="s">
        <v>296</v>
      </c>
      <c r="D7" s="14">
        <f>data!C223</f>
        <v>473369965.92000002</v>
      </c>
    </row>
    <row r="8" spans="1:13" ht="20.100000000000001" customHeight="1" x14ac:dyDescent="0.2">
      <c r="A8" s="13">
        <v>4</v>
      </c>
      <c r="B8" s="55">
        <v>5820</v>
      </c>
      <c r="C8" s="14" t="s">
        <v>297</v>
      </c>
      <c r="D8" s="14">
        <f>data!C224</f>
        <v>286647699.36000001</v>
      </c>
    </row>
    <row r="9" spans="1:13" ht="20.100000000000001" customHeight="1" x14ac:dyDescent="0.2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">
      <c r="A10" s="13">
        <v>6</v>
      </c>
      <c r="B10" s="55">
        <v>5840</v>
      </c>
      <c r="C10" s="14" t="s">
        <v>347</v>
      </c>
      <c r="D10" s="14">
        <f>data!C226</f>
        <v>35235589.770000003</v>
      </c>
    </row>
    <row r="11" spans="1:13" ht="20.100000000000001" customHeight="1" x14ac:dyDescent="0.2">
      <c r="A11" s="13">
        <v>7</v>
      </c>
      <c r="B11" s="55">
        <v>5850</v>
      </c>
      <c r="C11" s="14" t="s">
        <v>1093</v>
      </c>
      <c r="D11" s="14">
        <f>data!C227</f>
        <v>270901965.44</v>
      </c>
    </row>
    <row r="12" spans="1:13" ht="20.100000000000001" customHeight="1" x14ac:dyDescent="0.2">
      <c r="A12" s="13">
        <v>8</v>
      </c>
      <c r="B12" s="55">
        <v>5860</v>
      </c>
      <c r="C12" s="14" t="s">
        <v>132</v>
      </c>
      <c r="D12" s="14">
        <f>data!C228</f>
        <v>19983055.48</v>
      </c>
    </row>
    <row r="13" spans="1:13" ht="20.100000000000001" customHeight="1" x14ac:dyDescent="0.2">
      <c r="A13" s="23">
        <v>9</v>
      </c>
      <c r="B13" s="24"/>
      <c r="C13" s="14" t="s">
        <v>1094</v>
      </c>
      <c r="D13" s="14">
        <f>data!D229</f>
        <v>1086138275.97</v>
      </c>
    </row>
    <row r="14" spans="1:13" ht="20.100000000000001" customHeight="1" x14ac:dyDescent="0.2">
      <c r="A14" s="81">
        <v>10</v>
      </c>
      <c r="B14" s="56"/>
      <c r="C14" s="56"/>
      <c r="D14" s="56"/>
    </row>
    <row r="15" spans="1:13" ht="20.100000000000001" customHeight="1" x14ac:dyDescent="0.2">
      <c r="A15" s="23">
        <v>11</v>
      </c>
      <c r="B15" s="58"/>
      <c r="C15" s="9" t="s">
        <v>351</v>
      </c>
      <c r="D15" s="25"/>
    </row>
    <row r="16" spans="1:13" ht="20.100000000000001" customHeight="1" x14ac:dyDescent="0.2">
      <c r="A16" s="81">
        <v>12</v>
      </c>
      <c r="B16" s="56"/>
      <c r="C16" s="49" t="s">
        <v>1095</v>
      </c>
      <c r="D16" s="140">
        <f>+data!C231</f>
        <v>13214</v>
      </c>
      <c r="M16" s="269"/>
    </row>
    <row r="17" spans="1:4" ht="20.100000000000001" customHeight="1" x14ac:dyDescent="0.2">
      <c r="A17" s="23">
        <v>13</v>
      </c>
      <c r="B17" s="58"/>
      <c r="C17" s="45"/>
      <c r="D17" s="83"/>
    </row>
    <row r="18" spans="1:4" ht="20.100000000000001" customHeight="1" x14ac:dyDescent="0.2">
      <c r="A18" s="13">
        <v>14</v>
      </c>
      <c r="B18" s="59">
        <v>5900</v>
      </c>
      <c r="C18" s="14" t="s">
        <v>353</v>
      </c>
      <c r="D18" s="60">
        <f>data!C233</f>
        <v>13168972.49</v>
      </c>
    </row>
    <row r="19" spans="1:4" ht="20.100000000000001" customHeight="1" x14ac:dyDescent="0.2">
      <c r="A19" s="61">
        <v>15</v>
      </c>
      <c r="B19" s="55">
        <v>5910</v>
      </c>
      <c r="C19" s="22" t="s">
        <v>1096</v>
      </c>
      <c r="D19" s="14">
        <f>data!C234</f>
        <v>30905343.559999999</v>
      </c>
    </row>
    <row r="20" spans="1:4" ht="20.100000000000001" customHeight="1" x14ac:dyDescent="0.2">
      <c r="A20" s="23">
        <v>16</v>
      </c>
      <c r="B20" s="24"/>
      <c r="C20" s="24"/>
      <c r="D20" s="56"/>
    </row>
    <row r="21" spans="1:4" ht="20.100000000000001" customHeight="1" x14ac:dyDescent="0.2">
      <c r="A21" s="23">
        <v>17</v>
      </c>
      <c r="B21" s="56"/>
      <c r="C21" s="56"/>
      <c r="D21" s="56"/>
    </row>
    <row r="22" spans="1:4" ht="20.100000000000001" customHeight="1" x14ac:dyDescent="0.2">
      <c r="A22" s="81">
        <v>18</v>
      </c>
      <c r="B22" s="56"/>
      <c r="C22" s="15" t="s">
        <v>1097</v>
      </c>
      <c r="D22" s="14">
        <f>data!D236</f>
        <v>44074316.049999997</v>
      </c>
    </row>
    <row r="23" spans="1:4" ht="20.100000000000001" customHeight="1" x14ac:dyDescent="0.2">
      <c r="A23" s="62">
        <v>19</v>
      </c>
      <c r="B23" s="58"/>
      <c r="C23" s="58"/>
      <c r="D23" s="25"/>
    </row>
    <row r="24" spans="1:4" ht="20.100000000000001" customHeight="1" x14ac:dyDescent="0.2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">
      <c r="A25" s="62">
        <v>21</v>
      </c>
      <c r="B25" s="30"/>
      <c r="C25" s="30"/>
      <c r="D25" s="25"/>
    </row>
    <row r="26" spans="1:4" ht="20.100000000000001" customHeight="1" x14ac:dyDescent="0.2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">
      <c r="A27" s="64">
        <v>23</v>
      </c>
      <c r="B27" s="63" t="s">
        <v>1099</v>
      </c>
      <c r="C27" s="56"/>
      <c r="D27" s="14">
        <f>data!D242</f>
        <v>1124346161.1600001</v>
      </c>
    </row>
    <row r="28" spans="1:4" ht="20.100000000000001" customHeight="1" x14ac:dyDescent="0.2">
      <c r="A28" s="126">
        <v>24</v>
      </c>
      <c r="B28" s="65" t="s">
        <v>1100</v>
      </c>
      <c r="C28" s="50"/>
      <c r="D28" s="54"/>
    </row>
    <row r="29" spans="1:4" ht="20.100000000000001" customHeight="1" x14ac:dyDescent="0.2">
      <c r="A29" s="66"/>
      <c r="B29" s="67"/>
      <c r="C29" s="67"/>
      <c r="D29" s="56"/>
    </row>
    <row r="30" spans="1:4" ht="20.100000000000001" customHeight="1" x14ac:dyDescent="0.2">
      <c r="A30" s="68"/>
      <c r="B30" s="38"/>
      <c r="C30" s="38"/>
      <c r="D30" s="56"/>
    </row>
    <row r="31" spans="1:4" ht="20.100000000000001" customHeight="1" x14ac:dyDescent="0.2">
      <c r="A31" s="68"/>
      <c r="B31" s="38"/>
      <c r="C31" s="38"/>
      <c r="D31" s="56"/>
    </row>
    <row r="32" spans="1:4" ht="20.100000000000001" customHeight="1" x14ac:dyDescent="0.2">
      <c r="A32" s="68"/>
      <c r="B32" s="38"/>
      <c r="C32" s="38"/>
      <c r="D32" s="56"/>
    </row>
    <row r="33" spans="1:4" ht="20.100000000000001" customHeight="1" x14ac:dyDescent="0.2">
      <c r="A33" s="68"/>
      <c r="B33" s="38"/>
      <c r="C33" s="38"/>
      <c r="D33" s="24"/>
    </row>
    <row r="34" spans="1:4" ht="20.100000000000001" customHeight="1" x14ac:dyDescent="0.2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4140625" defaultRowHeight="15" x14ac:dyDescent="0.2"/>
  <cols>
    <col min="1" max="1" width="5.77734375" style="7" customWidth="1"/>
    <col min="2" max="2" width="55.77734375" style="7" customWidth="1"/>
    <col min="3" max="3" width="22" style="7" customWidth="1"/>
    <col min="4" max="4" width="5.6640625" style="7" customWidth="1"/>
    <col min="5" max="16384" width="57.44140625" style="7"/>
  </cols>
  <sheetData>
    <row r="1" spans="1:13" ht="20.100000000000001" customHeight="1" x14ac:dyDescent="0.2">
      <c r="A1" s="4" t="s">
        <v>1101</v>
      </c>
      <c r="B1" s="5"/>
      <c r="C1" s="6"/>
    </row>
    <row r="2" spans="1:13" ht="20.100000000000001" customHeight="1" x14ac:dyDescent="0.2">
      <c r="A2" s="4"/>
      <c r="B2" s="5"/>
      <c r="C2" s="167" t="s">
        <v>1102</v>
      </c>
    </row>
    <row r="3" spans="1:13" ht="20.100000000000001" customHeight="1" x14ac:dyDescent="0.2">
      <c r="A3" s="29" t="str">
        <f>"HOSPITAL: "&amp;data!C84</f>
        <v>HOSPITAL: St. Francis Hospital</v>
      </c>
      <c r="B3" s="30"/>
      <c r="C3" s="31" t="str">
        <f>" FYE: "&amp;data!C82</f>
        <v xml:space="preserve"> FYE: 06/30/2020</v>
      </c>
    </row>
    <row r="4" spans="1:13" ht="20.100000000000001" customHeight="1" x14ac:dyDescent="0.2">
      <c r="A4" s="32"/>
      <c r="B4" s="33" t="s">
        <v>1103</v>
      </c>
      <c r="C4" s="34"/>
    </row>
    <row r="5" spans="1:13" ht="20.100000000000001" customHeight="1" x14ac:dyDescent="0.2">
      <c r="A5" s="23">
        <v>1</v>
      </c>
      <c r="B5" s="35" t="s">
        <v>361</v>
      </c>
      <c r="C5" s="36"/>
    </row>
    <row r="6" spans="1:13" ht="20.100000000000001" customHeight="1" x14ac:dyDescent="0.2">
      <c r="A6" s="13">
        <v>2</v>
      </c>
      <c r="B6" s="14" t="s">
        <v>362</v>
      </c>
      <c r="C6" s="21">
        <f>data!C250</f>
        <v>1240284.1599999999</v>
      </c>
    </row>
    <row r="7" spans="1:13" ht="20.100000000000001" customHeight="1" x14ac:dyDescent="0.2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">
      <c r="A8" s="13">
        <v>4</v>
      </c>
      <c r="B8" s="14" t="s">
        <v>364</v>
      </c>
      <c r="C8" s="21">
        <f>data!C252</f>
        <v>182065605.78999999</v>
      </c>
    </row>
    <row r="9" spans="1:13" ht="20.100000000000001" customHeight="1" x14ac:dyDescent="0.2">
      <c r="A9" s="13">
        <v>5</v>
      </c>
      <c r="B9" s="14" t="s">
        <v>1104</v>
      </c>
      <c r="C9" s="21">
        <f>data!C253</f>
        <v>144458662.91999999</v>
      </c>
    </row>
    <row r="10" spans="1:13" ht="20.100000000000001" customHeight="1" x14ac:dyDescent="0.2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">
      <c r="A11" s="13">
        <v>7</v>
      </c>
      <c r="B11" s="14" t="s">
        <v>1106</v>
      </c>
      <c r="C11" s="21">
        <f>data!C255</f>
        <v>2816374.25</v>
      </c>
    </row>
    <row r="12" spans="1:13" ht="20.100000000000001" customHeight="1" x14ac:dyDescent="0.2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">
      <c r="A13" s="13">
        <v>9</v>
      </c>
      <c r="B13" s="14" t="s">
        <v>368</v>
      </c>
      <c r="C13" s="21">
        <f>data!C257</f>
        <v>6863493.4500000002</v>
      </c>
    </row>
    <row r="14" spans="1:13" ht="20.100000000000001" customHeight="1" x14ac:dyDescent="0.2">
      <c r="A14" s="13">
        <v>10</v>
      </c>
      <c r="B14" s="14" t="s">
        <v>369</v>
      </c>
      <c r="C14" s="21">
        <f>data!C258</f>
        <v>555203.47</v>
      </c>
    </row>
    <row r="15" spans="1:13" ht="20.100000000000001" customHeight="1" x14ac:dyDescent="0.2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">
      <c r="A16" s="13">
        <v>12</v>
      </c>
      <c r="B16" s="14" t="s">
        <v>1108</v>
      </c>
      <c r="C16" s="21">
        <f>data!D260</f>
        <v>49082298.200000003</v>
      </c>
    </row>
    <row r="17" spans="1:3" ht="20.100000000000001" customHeight="1" x14ac:dyDescent="0.2">
      <c r="A17" s="13">
        <v>13</v>
      </c>
      <c r="B17" s="24"/>
      <c r="C17" s="24"/>
    </row>
    <row r="18" spans="1:3" ht="20.100000000000001" customHeight="1" x14ac:dyDescent="0.2">
      <c r="A18" s="13">
        <v>14</v>
      </c>
      <c r="B18" s="37" t="s">
        <v>1109</v>
      </c>
      <c r="C18" s="36"/>
    </row>
    <row r="19" spans="1:3" ht="20.100000000000001" customHeight="1" x14ac:dyDescent="0.2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">
      <c r="A23" s="13">
        <v>19</v>
      </c>
      <c r="B23" s="38"/>
      <c r="C23" s="24"/>
    </row>
    <row r="24" spans="1:3" ht="20.100000000000001" customHeight="1" x14ac:dyDescent="0.2">
      <c r="A24" s="13">
        <v>20</v>
      </c>
      <c r="B24" s="37" t="s">
        <v>1111</v>
      </c>
      <c r="C24" s="36"/>
    </row>
    <row r="25" spans="1:3" ht="20.100000000000001" customHeight="1" x14ac:dyDescent="0.2">
      <c r="A25" s="13">
        <v>21</v>
      </c>
      <c r="B25" s="14" t="s">
        <v>332</v>
      </c>
      <c r="C25" s="21">
        <f>data!C267</f>
        <v>7206096.9900000002</v>
      </c>
    </row>
    <row r="26" spans="1:3" ht="20.100000000000001" customHeight="1" x14ac:dyDescent="0.2">
      <c r="A26" s="13">
        <v>22</v>
      </c>
      <c r="B26" s="14" t="s">
        <v>333</v>
      </c>
      <c r="C26" s="21">
        <f>data!C268</f>
        <v>2932921.47</v>
      </c>
    </row>
    <row r="27" spans="1:3" ht="20.100000000000001" customHeight="1" x14ac:dyDescent="0.2">
      <c r="A27" s="13">
        <v>23</v>
      </c>
      <c r="B27" s="14" t="s">
        <v>334</v>
      </c>
      <c r="C27" s="21">
        <f>data!C269</f>
        <v>64482436.739999995</v>
      </c>
    </row>
    <row r="28" spans="1:3" ht="20.100000000000001" customHeight="1" x14ac:dyDescent="0.2">
      <c r="A28" s="13">
        <v>24</v>
      </c>
      <c r="B28" s="14" t="s">
        <v>1112</v>
      </c>
      <c r="C28" s="21">
        <f>data!C270</f>
        <v>22650662.260000002</v>
      </c>
    </row>
    <row r="29" spans="1:3" ht="20.100000000000001" customHeight="1" x14ac:dyDescent="0.2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">
      <c r="A30" s="13">
        <v>26</v>
      </c>
      <c r="B30" s="14" t="s">
        <v>378</v>
      </c>
      <c r="C30" s="21">
        <f>data!C272</f>
        <v>116791105.58</v>
      </c>
    </row>
    <row r="31" spans="1:3" ht="20.100000000000001" customHeight="1" x14ac:dyDescent="0.2">
      <c r="A31" s="13">
        <v>27</v>
      </c>
      <c r="B31" s="14" t="s">
        <v>339</v>
      </c>
      <c r="C31" s="21">
        <f>data!C273</f>
        <v>16194763.050000001</v>
      </c>
    </row>
    <row r="32" spans="1:3" ht="20.100000000000001" customHeight="1" x14ac:dyDescent="0.2">
      <c r="A32" s="13">
        <v>28</v>
      </c>
      <c r="B32" s="14" t="s">
        <v>340</v>
      </c>
      <c r="C32" s="21">
        <f>data!C274</f>
        <v>1165753.95</v>
      </c>
    </row>
    <row r="33" spans="1:3" ht="20.100000000000001" customHeight="1" x14ac:dyDescent="0.2">
      <c r="A33" s="13">
        <v>29</v>
      </c>
      <c r="B33" s="14" t="s">
        <v>661</v>
      </c>
      <c r="C33" s="21">
        <f>data!D275</f>
        <v>231423740.03999999</v>
      </c>
    </row>
    <row r="34" spans="1:3" ht="20.100000000000001" customHeight="1" x14ac:dyDescent="0.2">
      <c r="A34" s="13">
        <v>30</v>
      </c>
      <c r="B34" s="14" t="s">
        <v>1113</v>
      </c>
      <c r="C34" s="21">
        <f>data!C276</f>
        <v>146110423.65000001</v>
      </c>
    </row>
    <row r="35" spans="1:3" ht="20.100000000000001" customHeight="1" x14ac:dyDescent="0.2">
      <c r="A35" s="13">
        <v>31</v>
      </c>
      <c r="B35" s="14" t="s">
        <v>1114</v>
      </c>
      <c r="C35" s="21">
        <f>data!D277</f>
        <v>85313316.389999986</v>
      </c>
    </row>
    <row r="36" spans="1:3" ht="20.100000000000001" customHeight="1" x14ac:dyDescent="0.2">
      <c r="A36" s="13">
        <v>32</v>
      </c>
      <c r="B36" s="38"/>
      <c r="C36" s="24"/>
    </row>
    <row r="37" spans="1:3" ht="20.100000000000001" customHeight="1" x14ac:dyDescent="0.2">
      <c r="A37" s="23">
        <v>33</v>
      </c>
      <c r="B37" s="37" t="s">
        <v>1115</v>
      </c>
      <c r="C37" s="36"/>
    </row>
    <row r="38" spans="1:3" ht="20.100000000000001" customHeight="1" x14ac:dyDescent="0.2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">
      <c r="A40" s="13">
        <v>36</v>
      </c>
      <c r="B40" s="14" t="s">
        <v>385</v>
      </c>
      <c r="C40" s="21">
        <f>data!C281</f>
        <v>33162577.780000001</v>
      </c>
    </row>
    <row r="41" spans="1:3" ht="20.100000000000001" customHeight="1" x14ac:dyDescent="0.2">
      <c r="A41" s="13">
        <v>37</v>
      </c>
      <c r="B41" s="14" t="s">
        <v>373</v>
      </c>
      <c r="C41" s="21">
        <f>data!C282</f>
        <v>24852129.800000001</v>
      </c>
    </row>
    <row r="42" spans="1:3" ht="20.100000000000001" customHeight="1" x14ac:dyDescent="0.2">
      <c r="A42" s="13">
        <v>38</v>
      </c>
      <c r="B42" s="14" t="s">
        <v>1118</v>
      </c>
      <c r="C42" s="21">
        <f>data!D283</f>
        <v>58014707.579999998</v>
      </c>
    </row>
    <row r="43" spans="1:3" ht="20.100000000000001" customHeight="1" x14ac:dyDescent="0.2">
      <c r="A43" s="13">
        <v>39</v>
      </c>
      <c r="B43" s="38"/>
      <c r="C43" s="24"/>
    </row>
    <row r="44" spans="1:3" ht="20.100000000000001" customHeight="1" x14ac:dyDescent="0.2">
      <c r="A44" s="23">
        <v>40</v>
      </c>
      <c r="B44" s="37" t="s">
        <v>1119</v>
      </c>
      <c r="C44" s="36"/>
    </row>
    <row r="45" spans="1:3" ht="20.100000000000001" customHeight="1" x14ac:dyDescent="0.2">
      <c r="A45" s="13">
        <v>41</v>
      </c>
      <c r="B45" s="14" t="s">
        <v>388</v>
      </c>
      <c r="C45" s="21">
        <f>data!C286</f>
        <v>10727067.359999999</v>
      </c>
    </row>
    <row r="46" spans="1:3" ht="20.100000000000001" customHeight="1" x14ac:dyDescent="0.2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">
      <c r="A48" s="13">
        <v>44</v>
      </c>
      <c r="B48" s="14" t="s">
        <v>391</v>
      </c>
      <c r="C48" s="21">
        <f>data!C289</f>
        <v>4086298.73</v>
      </c>
    </row>
    <row r="49" spans="1:3" ht="20.100000000000001" customHeight="1" x14ac:dyDescent="0.2">
      <c r="A49" s="13">
        <v>45</v>
      </c>
      <c r="B49" s="14" t="s">
        <v>1121</v>
      </c>
      <c r="C49" s="21">
        <f>data!D290</f>
        <v>14813366.09</v>
      </c>
    </row>
    <row r="50" spans="1:3" ht="20.100000000000001" customHeight="1" x14ac:dyDescent="0.2">
      <c r="A50" s="40">
        <v>46</v>
      </c>
      <c r="B50" s="41" t="s">
        <v>1122</v>
      </c>
      <c r="C50" s="21">
        <f>data!D292</f>
        <v>207223688.25999996</v>
      </c>
    </row>
    <row r="51" spans="1:3" ht="20.100000000000001" customHeight="1" x14ac:dyDescent="0.2"/>
    <row r="52" spans="1:3" ht="20.100000000000001" customHeight="1" x14ac:dyDescent="0.2"/>
    <row r="53" spans="1:3" ht="20.100000000000001" customHeight="1" x14ac:dyDescent="0.2">
      <c r="A53" s="4" t="s">
        <v>1123</v>
      </c>
      <c r="B53" s="5"/>
      <c r="C53" s="6"/>
    </row>
    <row r="54" spans="1:3" ht="20.100000000000001" customHeight="1" x14ac:dyDescent="0.2">
      <c r="A54" s="4"/>
      <c r="B54" s="5"/>
      <c r="C54" s="167" t="s">
        <v>1124</v>
      </c>
    </row>
    <row r="55" spans="1:3" ht="20.100000000000001" customHeight="1" x14ac:dyDescent="0.2">
      <c r="A55" s="29" t="str">
        <f>"HOSPITAL: "&amp;data!C84</f>
        <v>HOSPITAL: St. Francis Hospital</v>
      </c>
      <c r="B55" s="30"/>
      <c r="C55" s="31" t="str">
        <f>"FYE: "&amp;data!C82</f>
        <v>FYE: 06/30/2020</v>
      </c>
    </row>
    <row r="56" spans="1:3" ht="20.100000000000001" customHeight="1" x14ac:dyDescent="0.2">
      <c r="A56" s="42"/>
      <c r="B56" s="43" t="s">
        <v>1125</v>
      </c>
      <c r="C56" s="34"/>
    </row>
    <row r="57" spans="1:3" ht="20.100000000000001" customHeight="1" x14ac:dyDescent="0.2">
      <c r="A57" s="16">
        <v>1</v>
      </c>
      <c r="B57" s="4" t="s">
        <v>395</v>
      </c>
      <c r="C57" s="44"/>
    </row>
    <row r="58" spans="1:3" ht="20.100000000000001" customHeight="1" x14ac:dyDescent="0.2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">
      <c r="A59" s="13">
        <v>3</v>
      </c>
      <c r="B59" s="14" t="s">
        <v>1126</v>
      </c>
      <c r="C59" s="21">
        <f>data!C305</f>
        <v>2645440.62</v>
      </c>
    </row>
    <row r="60" spans="1:3" ht="20.100000000000001" customHeight="1" x14ac:dyDescent="0.2">
      <c r="A60" s="13">
        <v>4</v>
      </c>
      <c r="B60" s="14" t="s">
        <v>1127</v>
      </c>
      <c r="C60" s="21">
        <f>data!C306</f>
        <v>12924173.66</v>
      </c>
    </row>
    <row r="61" spans="1:3" ht="20.100000000000001" customHeight="1" x14ac:dyDescent="0.2">
      <c r="A61" s="13">
        <v>5</v>
      </c>
      <c r="B61" s="14" t="s">
        <v>399</v>
      </c>
      <c r="C61" s="21">
        <f>data!C307</f>
        <v>15365075.439999999</v>
      </c>
    </row>
    <row r="62" spans="1:3" ht="20.100000000000001" customHeight="1" x14ac:dyDescent="0.2">
      <c r="A62" s="13">
        <v>6</v>
      </c>
      <c r="B62" s="14" t="s">
        <v>1128</v>
      </c>
      <c r="C62" s="21">
        <f>data!C308</f>
        <v>22202869.82</v>
      </c>
    </row>
    <row r="63" spans="1:3" ht="20.100000000000001" customHeight="1" x14ac:dyDescent="0.2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">
      <c r="A67" s="13">
        <v>11</v>
      </c>
      <c r="B67" s="14" t="s">
        <v>1130</v>
      </c>
      <c r="C67" s="21">
        <f>data!C313</f>
        <v>1382957.06</v>
      </c>
    </row>
    <row r="68" spans="1:3" ht="20.100000000000001" customHeight="1" x14ac:dyDescent="0.2">
      <c r="A68" s="13">
        <v>12</v>
      </c>
      <c r="B68" s="14" t="s">
        <v>1131</v>
      </c>
      <c r="C68" s="21">
        <f>data!D314</f>
        <v>54520516.600000001</v>
      </c>
    </row>
    <row r="69" spans="1:3" ht="20.100000000000001" customHeight="1" x14ac:dyDescent="0.2">
      <c r="A69" s="13">
        <v>13</v>
      </c>
      <c r="B69" s="38"/>
      <c r="C69" s="24"/>
    </row>
    <row r="70" spans="1:3" ht="20.100000000000001" customHeight="1" x14ac:dyDescent="0.2">
      <c r="A70" s="13">
        <v>14</v>
      </c>
      <c r="B70" s="37" t="s">
        <v>1132</v>
      </c>
      <c r="C70" s="36"/>
    </row>
    <row r="71" spans="1:3" ht="20.100000000000001" customHeight="1" x14ac:dyDescent="0.2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">
      <c r="A73" s="13">
        <v>17</v>
      </c>
      <c r="B73" s="14" t="s">
        <v>409</v>
      </c>
      <c r="C73" s="21">
        <f>data!C318</f>
        <v>25229307.379999999</v>
      </c>
    </row>
    <row r="74" spans="1:3" ht="20.100000000000001" customHeight="1" x14ac:dyDescent="0.2">
      <c r="A74" s="13">
        <v>18</v>
      </c>
      <c r="B74" s="14" t="s">
        <v>1134</v>
      </c>
      <c r="C74" s="21">
        <f>data!D319</f>
        <v>25229307.379999999</v>
      </c>
    </row>
    <row r="75" spans="1:3" ht="20.100000000000001" customHeight="1" x14ac:dyDescent="0.2">
      <c r="A75" s="13">
        <v>19</v>
      </c>
      <c r="B75" s="38"/>
      <c r="C75" s="24"/>
    </row>
    <row r="76" spans="1:3" ht="20.100000000000001" customHeight="1" x14ac:dyDescent="0.2">
      <c r="A76" s="23">
        <v>20</v>
      </c>
      <c r="B76" s="37" t="s">
        <v>411</v>
      </c>
      <c r="C76" s="36"/>
    </row>
    <row r="77" spans="1:3" ht="20.100000000000001" customHeight="1" x14ac:dyDescent="0.2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">
      <c r="A79" s="13">
        <v>23</v>
      </c>
      <c r="B79" s="14" t="s">
        <v>414</v>
      </c>
      <c r="C79" s="21">
        <f>data!C323</f>
        <v>423591.04</v>
      </c>
    </row>
    <row r="80" spans="1:3" ht="20.100000000000001" customHeight="1" x14ac:dyDescent="0.2">
      <c r="A80" s="13">
        <v>24</v>
      </c>
      <c r="B80" s="14" t="s">
        <v>1136</v>
      </c>
      <c r="C80" s="21">
        <f>data!C324</f>
        <v>1171161.54</v>
      </c>
    </row>
    <row r="81" spans="1:3" ht="20.100000000000001" customHeight="1" x14ac:dyDescent="0.2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">
      <c r="A83" s="13">
        <v>27</v>
      </c>
      <c r="B83" s="14" t="s">
        <v>418</v>
      </c>
      <c r="C83" s="21">
        <f>data!C327</f>
        <v>1595555.28</v>
      </c>
    </row>
    <row r="84" spans="1:3" ht="20.100000000000001" customHeight="1" x14ac:dyDescent="0.2">
      <c r="A84" s="13">
        <v>28</v>
      </c>
      <c r="B84" s="14" t="s">
        <v>661</v>
      </c>
      <c r="C84" s="21">
        <f>data!D328</f>
        <v>3190307.8600000003</v>
      </c>
    </row>
    <row r="85" spans="1:3" ht="20.100000000000001" customHeight="1" x14ac:dyDescent="0.2">
      <c r="A85" s="13">
        <v>29</v>
      </c>
      <c r="B85" s="14" t="s">
        <v>1138</v>
      </c>
      <c r="C85" s="21">
        <f>data!D329</f>
        <v>1382957.06</v>
      </c>
    </row>
    <row r="86" spans="1:3" ht="20.100000000000001" customHeight="1" x14ac:dyDescent="0.2">
      <c r="A86" s="13">
        <v>30</v>
      </c>
      <c r="B86" s="14" t="s">
        <v>1139</v>
      </c>
      <c r="C86" s="21">
        <f>data!D330</f>
        <v>1807350.8000000003</v>
      </c>
    </row>
    <row r="87" spans="1:3" ht="20.100000000000001" customHeight="1" x14ac:dyDescent="0.2">
      <c r="A87" s="13">
        <v>31</v>
      </c>
      <c r="B87" s="38"/>
      <c r="C87" s="24"/>
    </row>
    <row r="88" spans="1:3" ht="20.100000000000001" customHeight="1" x14ac:dyDescent="0.2">
      <c r="A88" s="13">
        <v>32</v>
      </c>
      <c r="B88" s="89" t="s">
        <v>1140</v>
      </c>
      <c r="C88" s="21">
        <f>data!C332</f>
        <v>125666513.45999999</v>
      </c>
    </row>
    <row r="89" spans="1:3" ht="20.100000000000001" customHeight="1" x14ac:dyDescent="0.2">
      <c r="A89" s="13">
        <v>33</v>
      </c>
      <c r="B89" s="24"/>
      <c r="C89" s="24"/>
    </row>
    <row r="90" spans="1:3" ht="20.100000000000001" customHeight="1" x14ac:dyDescent="0.2">
      <c r="A90" s="13">
        <v>34</v>
      </c>
      <c r="B90" s="37" t="s">
        <v>1141</v>
      </c>
      <c r="C90" s="36"/>
    </row>
    <row r="91" spans="1:3" ht="20.100000000000001" customHeight="1" x14ac:dyDescent="0.2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">
      <c r="A92" s="13">
        <v>36</v>
      </c>
      <c r="B92" s="38"/>
      <c r="C92" s="24"/>
    </row>
    <row r="93" spans="1:3" ht="20.100000000000001" customHeight="1" x14ac:dyDescent="0.2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">
      <c r="A94" s="13">
        <v>38</v>
      </c>
      <c r="B94" s="38"/>
      <c r="C94" s="24"/>
    </row>
    <row r="95" spans="1:3" ht="20.100000000000001" customHeight="1" x14ac:dyDescent="0.2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">
      <c r="A96" s="13">
        <v>40</v>
      </c>
      <c r="B96" s="38"/>
      <c r="C96" s="24"/>
    </row>
    <row r="97" spans="1:3" ht="20.100000000000001" customHeight="1" x14ac:dyDescent="0.2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">
      <c r="A98" s="13">
        <v>42</v>
      </c>
      <c r="B98" s="14" t="s">
        <v>1146</v>
      </c>
      <c r="C98" s="24"/>
    </row>
    <row r="99" spans="1:3" ht="20.100000000000001" customHeight="1" x14ac:dyDescent="0.2">
      <c r="A99" s="13">
        <v>43</v>
      </c>
      <c r="B99" s="38"/>
      <c r="C99" s="24"/>
    </row>
    <row r="100" spans="1:3" ht="20.100000000000001" customHeight="1" x14ac:dyDescent="0.2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">
      <c r="A101" s="13">
        <v>45</v>
      </c>
      <c r="B101" s="14" t="s">
        <v>1148</v>
      </c>
      <c r="C101" s="21">
        <f>data!C332+data!C334+data!C335+data!C336+data!C337-data!C338</f>
        <v>125666513.45999999</v>
      </c>
    </row>
    <row r="102" spans="1:3" ht="20.100000000000001" customHeight="1" x14ac:dyDescent="0.2">
      <c r="A102" s="13">
        <v>46</v>
      </c>
      <c r="B102" s="14" t="s">
        <v>1149</v>
      </c>
      <c r="C102" s="21">
        <f>data!D339</f>
        <v>207223688.24000001</v>
      </c>
    </row>
    <row r="103" spans="1:3" ht="20.100000000000001" customHeight="1" x14ac:dyDescent="0.2"/>
    <row r="104" spans="1:3" ht="20.100000000000001" customHeight="1" x14ac:dyDescent="0.2"/>
    <row r="105" spans="1:3" ht="20.100000000000001" customHeight="1" x14ac:dyDescent="0.2">
      <c r="A105" s="4" t="s">
        <v>1150</v>
      </c>
      <c r="B105" s="5"/>
      <c r="C105" s="6"/>
    </row>
    <row r="106" spans="1:3" ht="20.100000000000001" customHeight="1" x14ac:dyDescent="0.2">
      <c r="A106" s="45"/>
      <c r="B106" s="8"/>
      <c r="C106" s="167" t="s">
        <v>1151</v>
      </c>
    </row>
    <row r="107" spans="1:3" ht="20.100000000000001" customHeight="1" x14ac:dyDescent="0.2">
      <c r="A107" s="29" t="str">
        <f>"HOSPITAL: "&amp;data!C84</f>
        <v>HOSPITAL: St. Francis Hospital</v>
      </c>
      <c r="B107" s="30"/>
      <c r="C107" s="31" t="str">
        <f>" FYE: "&amp;data!C82</f>
        <v xml:space="preserve"> FYE: 06/30/2020</v>
      </c>
    </row>
    <row r="108" spans="1:3" ht="20.100000000000001" customHeight="1" x14ac:dyDescent="0.2">
      <c r="A108" s="32"/>
      <c r="B108" s="46"/>
      <c r="C108" s="47"/>
    </row>
    <row r="109" spans="1:3" ht="20.100000000000001" customHeight="1" x14ac:dyDescent="0.2">
      <c r="A109" s="13">
        <v>1</v>
      </c>
      <c r="B109" s="37" t="s">
        <v>1152</v>
      </c>
      <c r="C109" s="36"/>
    </row>
    <row r="110" spans="1:3" ht="20.100000000000001" customHeight="1" x14ac:dyDescent="0.2">
      <c r="A110" s="13">
        <v>2</v>
      </c>
      <c r="B110" s="14" t="s">
        <v>428</v>
      </c>
      <c r="C110" s="21">
        <f>data!C359</f>
        <v>551004880.27999997</v>
      </c>
    </row>
    <row r="111" spans="1:3" ht="20.100000000000001" customHeight="1" x14ac:dyDescent="0.2">
      <c r="A111" s="13">
        <v>3</v>
      </c>
      <c r="B111" s="14" t="s">
        <v>429</v>
      </c>
      <c r="C111" s="21">
        <f>data!C360</f>
        <v>860689170.5</v>
      </c>
    </row>
    <row r="112" spans="1:3" ht="20.100000000000001" customHeight="1" x14ac:dyDescent="0.2">
      <c r="A112" s="13">
        <v>4</v>
      </c>
      <c r="B112" s="14" t="s">
        <v>1153</v>
      </c>
      <c r="C112" s="21">
        <f>data!D361</f>
        <v>1411694050.78</v>
      </c>
    </row>
    <row r="113" spans="1:3" ht="20.100000000000001" customHeight="1" x14ac:dyDescent="0.2">
      <c r="A113" s="13">
        <v>5</v>
      </c>
      <c r="B113" s="38"/>
      <c r="C113" s="24"/>
    </row>
    <row r="114" spans="1:3" ht="20.100000000000001" customHeight="1" x14ac:dyDescent="0.2">
      <c r="A114" s="13">
        <v>6</v>
      </c>
      <c r="B114" s="37" t="s">
        <v>1154</v>
      </c>
      <c r="C114" s="36"/>
    </row>
    <row r="115" spans="1:3" ht="20.100000000000001" customHeight="1" x14ac:dyDescent="0.2">
      <c r="A115" s="13">
        <v>7</v>
      </c>
      <c r="B115" s="274" t="s">
        <v>450</v>
      </c>
      <c r="C115" s="48">
        <f>data!C363</f>
        <v>-5866430.8600000003</v>
      </c>
    </row>
    <row r="116" spans="1:3" ht="20.100000000000001" customHeight="1" x14ac:dyDescent="0.2">
      <c r="A116" s="13">
        <v>8</v>
      </c>
      <c r="B116" s="14" t="s">
        <v>432</v>
      </c>
      <c r="C116" s="48">
        <f>data!C364</f>
        <v>1086138275.97</v>
      </c>
    </row>
    <row r="117" spans="1:3" ht="20.100000000000001" customHeight="1" x14ac:dyDescent="0.2">
      <c r="A117" s="13">
        <v>9</v>
      </c>
      <c r="B117" s="14" t="s">
        <v>1155</v>
      </c>
      <c r="C117" s="48">
        <f>data!C365</f>
        <v>44074316.049999997</v>
      </c>
    </row>
    <row r="118" spans="1:3" ht="20.100000000000001" customHeight="1" x14ac:dyDescent="0.2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">
      <c r="A119" s="13">
        <v>11</v>
      </c>
      <c r="B119" s="14" t="s">
        <v>1099</v>
      </c>
      <c r="C119" s="48">
        <f>data!D367</f>
        <v>1124346161.1600001</v>
      </c>
    </row>
    <row r="120" spans="1:3" ht="20.100000000000001" customHeight="1" x14ac:dyDescent="0.2">
      <c r="A120" s="13">
        <v>12</v>
      </c>
      <c r="B120" s="14" t="s">
        <v>1157</v>
      </c>
      <c r="C120" s="48">
        <f>data!D368</f>
        <v>287347889.61999989</v>
      </c>
    </row>
    <row r="121" spans="1:3" ht="20.100000000000001" customHeight="1" x14ac:dyDescent="0.2">
      <c r="A121" s="13">
        <v>13</v>
      </c>
      <c r="B121" s="38"/>
      <c r="C121" s="24"/>
    </row>
    <row r="122" spans="1:3" ht="20.100000000000001" customHeight="1" x14ac:dyDescent="0.2">
      <c r="A122" s="13">
        <v>14</v>
      </c>
      <c r="B122" s="37" t="s">
        <v>436</v>
      </c>
      <c r="C122" s="36"/>
    </row>
    <row r="123" spans="1:3" ht="20.100000000000001" customHeight="1" x14ac:dyDescent="0.2">
      <c r="A123" s="13">
        <v>15</v>
      </c>
      <c r="B123" s="14" t="s">
        <v>437</v>
      </c>
      <c r="C123" s="48">
        <f>data!C370</f>
        <v>12107256.800000001</v>
      </c>
    </row>
    <row r="124" spans="1:3" ht="20.100000000000001" customHeight="1" x14ac:dyDescent="0.2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">
      <c r="A125" s="13">
        <v>17</v>
      </c>
      <c r="B125" s="14" t="s">
        <v>1158</v>
      </c>
      <c r="C125" s="48">
        <f>data!D372</f>
        <v>12107256.800000001</v>
      </c>
    </row>
    <row r="126" spans="1:3" ht="20.100000000000001" customHeight="1" x14ac:dyDescent="0.2">
      <c r="A126" s="13">
        <v>18</v>
      </c>
      <c r="B126" s="14" t="s">
        <v>1159</v>
      </c>
      <c r="C126" s="48">
        <f>data!D373</f>
        <v>299455146.4199999</v>
      </c>
    </row>
    <row r="127" spans="1:3" ht="20.100000000000001" customHeight="1" x14ac:dyDescent="0.2">
      <c r="A127" s="13">
        <v>19</v>
      </c>
      <c r="B127" s="38"/>
      <c r="C127" s="24"/>
    </row>
    <row r="128" spans="1:3" ht="20.100000000000001" customHeight="1" x14ac:dyDescent="0.2">
      <c r="A128" s="13">
        <v>20</v>
      </c>
      <c r="B128" s="37" t="s">
        <v>1160</v>
      </c>
      <c r="C128" s="36"/>
    </row>
    <row r="129" spans="1:3" ht="20.100000000000001" customHeight="1" x14ac:dyDescent="0.2">
      <c r="A129" s="13">
        <v>21</v>
      </c>
      <c r="B129" s="14" t="s">
        <v>442</v>
      </c>
      <c r="C129" s="48">
        <f>data!C378</f>
        <v>118552060.45999999</v>
      </c>
    </row>
    <row r="130" spans="1:3" ht="20.100000000000001" customHeight="1" x14ac:dyDescent="0.2">
      <c r="A130" s="13">
        <v>22</v>
      </c>
      <c r="B130" s="14" t="s">
        <v>3</v>
      </c>
      <c r="C130" s="48">
        <f>data!C379</f>
        <v>26972204.379999999</v>
      </c>
    </row>
    <row r="131" spans="1:3" ht="20.100000000000001" customHeight="1" x14ac:dyDescent="0.2">
      <c r="A131" s="13">
        <v>23</v>
      </c>
      <c r="B131" s="14" t="s">
        <v>236</v>
      </c>
      <c r="C131" s="48">
        <f>data!C380</f>
        <v>13493247.789999999</v>
      </c>
    </row>
    <row r="132" spans="1:3" ht="20.100000000000001" customHeight="1" x14ac:dyDescent="0.2">
      <c r="A132" s="13">
        <v>24</v>
      </c>
      <c r="B132" s="14" t="s">
        <v>237</v>
      </c>
      <c r="C132" s="48">
        <f>data!C381</f>
        <v>34585887.219999999</v>
      </c>
    </row>
    <row r="133" spans="1:3" ht="20.100000000000001" customHeight="1" x14ac:dyDescent="0.2">
      <c r="A133" s="13">
        <v>25</v>
      </c>
      <c r="B133" s="14" t="s">
        <v>1161</v>
      </c>
      <c r="C133" s="48">
        <f>data!C382</f>
        <v>1434237.32</v>
      </c>
    </row>
    <row r="134" spans="1:3" ht="20.100000000000001" customHeight="1" x14ac:dyDescent="0.2">
      <c r="A134" s="13">
        <v>26</v>
      </c>
      <c r="B134" s="14" t="s">
        <v>1162</v>
      </c>
      <c r="C134" s="48">
        <f>data!C383</f>
        <v>65160328.68</v>
      </c>
    </row>
    <row r="135" spans="1:3" ht="20.100000000000001" customHeight="1" x14ac:dyDescent="0.2">
      <c r="A135" s="13">
        <v>27</v>
      </c>
      <c r="B135" s="14" t="s">
        <v>6</v>
      </c>
      <c r="C135" s="48">
        <f>data!C384</f>
        <v>13605590.4</v>
      </c>
    </row>
    <row r="136" spans="1:3" ht="20.100000000000001" customHeight="1" x14ac:dyDescent="0.2">
      <c r="A136" s="13">
        <v>28</v>
      </c>
      <c r="B136" s="14" t="s">
        <v>1163</v>
      </c>
      <c r="C136" s="48">
        <f>data!C385</f>
        <v>7426338.4699999997</v>
      </c>
    </row>
    <row r="137" spans="1:3" ht="20.100000000000001" customHeight="1" x14ac:dyDescent="0.2">
      <c r="A137" s="13">
        <v>29</v>
      </c>
      <c r="B137" s="14" t="s">
        <v>447</v>
      </c>
      <c r="C137" s="48">
        <f>data!C386</f>
        <v>2795639.21</v>
      </c>
    </row>
    <row r="138" spans="1:3" ht="20.100000000000001" customHeight="1" x14ac:dyDescent="0.2">
      <c r="A138" s="13">
        <v>30</v>
      </c>
      <c r="B138" s="14" t="s">
        <v>1164</v>
      </c>
      <c r="C138" s="48">
        <f>data!C387</f>
        <v>9127738.1699999999</v>
      </c>
    </row>
    <row r="139" spans="1:3" ht="20.100000000000001" customHeight="1" x14ac:dyDescent="0.2">
      <c r="A139" s="13">
        <v>31</v>
      </c>
      <c r="B139" s="14" t="s">
        <v>449</v>
      </c>
      <c r="C139" s="48">
        <f>data!C388</f>
        <v>68687.81</v>
      </c>
    </row>
    <row r="140" spans="1:3" ht="20.100000000000001" customHeight="1" x14ac:dyDescent="0.2">
      <c r="A140" s="13">
        <v>32</v>
      </c>
      <c r="B140" s="14" t="s">
        <v>241</v>
      </c>
      <c r="C140" s="48">
        <f>data!C389</f>
        <v>3096108.4099999997</v>
      </c>
    </row>
    <row r="141" spans="1:3" ht="20.100000000000001" customHeight="1" x14ac:dyDescent="0.2">
      <c r="A141" s="13">
        <v>34</v>
      </c>
      <c r="B141" s="14" t="s">
        <v>1165</v>
      </c>
      <c r="C141" s="48">
        <f>data!D390</f>
        <v>296318068.32000005</v>
      </c>
    </row>
    <row r="142" spans="1:3" ht="20.100000000000001" customHeight="1" x14ac:dyDescent="0.2">
      <c r="A142" s="13">
        <v>35</v>
      </c>
      <c r="B142" s="14" t="s">
        <v>1166</v>
      </c>
      <c r="C142" s="48">
        <f>data!D391</f>
        <v>3137078.099999845</v>
      </c>
    </row>
    <row r="143" spans="1:3" ht="20.100000000000001" customHeight="1" x14ac:dyDescent="0.2">
      <c r="A143" s="13">
        <v>36</v>
      </c>
      <c r="B143" s="38"/>
      <c r="C143" s="24"/>
    </row>
    <row r="144" spans="1:3" ht="20.100000000000001" customHeight="1" x14ac:dyDescent="0.2">
      <c r="A144" s="13">
        <v>37</v>
      </c>
      <c r="B144" s="14" t="s">
        <v>1167</v>
      </c>
      <c r="C144" s="48">
        <f>data!C392</f>
        <v>930589.59</v>
      </c>
    </row>
    <row r="145" spans="1:3" ht="20.100000000000001" customHeight="1" x14ac:dyDescent="0.2">
      <c r="A145" s="13">
        <v>38</v>
      </c>
      <c r="B145" s="38"/>
      <c r="C145" s="24"/>
    </row>
    <row r="146" spans="1:3" ht="20.100000000000001" customHeight="1" x14ac:dyDescent="0.2">
      <c r="A146" s="13">
        <v>39</v>
      </c>
      <c r="B146" s="14" t="s">
        <v>1168</v>
      </c>
      <c r="C146" s="21">
        <f>data!D393</f>
        <v>4067667.6899998449</v>
      </c>
    </row>
    <row r="147" spans="1:3" ht="20.100000000000001" customHeight="1" x14ac:dyDescent="0.2">
      <c r="A147" s="13">
        <v>40</v>
      </c>
      <c r="B147" s="38"/>
      <c r="C147" s="24"/>
    </row>
    <row r="148" spans="1:3" ht="20.100000000000001" customHeight="1" x14ac:dyDescent="0.2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">
      <c r="A150" s="13">
        <v>43</v>
      </c>
      <c r="B150" s="38"/>
      <c r="C150" s="24"/>
    </row>
    <row r="151" spans="1:3" ht="20.100000000000001" customHeight="1" x14ac:dyDescent="0.2">
      <c r="A151" s="13">
        <v>44</v>
      </c>
      <c r="B151" s="14" t="s">
        <v>1171</v>
      </c>
      <c r="C151" s="48">
        <f>data!D396</f>
        <v>4067667.6899998449</v>
      </c>
    </row>
    <row r="152" spans="1:3" ht="20.100000000000001" customHeight="1" x14ac:dyDescent="0.2">
      <c r="A152" s="40">
        <v>45</v>
      </c>
      <c r="B152" s="49" t="s">
        <v>1172</v>
      </c>
      <c r="C152" s="24"/>
    </row>
    <row r="153" spans="1:3" ht="20.100000000000001" customHeight="1" x14ac:dyDescent="0.2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8671875" defaultRowHeight="20.100000000000001" customHeight="1" x14ac:dyDescent="0.2"/>
  <cols>
    <col min="1" max="1" width="5.77734375" style="78" customWidth="1"/>
    <col min="2" max="2" width="22.44140625" style="78" customWidth="1"/>
    <col min="3" max="8" width="13.77734375" style="78" customWidth="1"/>
    <col min="9" max="9" width="15.77734375" style="78" customWidth="1"/>
    <col min="10" max="16384" width="8.88671875" style="78"/>
  </cols>
  <sheetData>
    <row r="1" spans="1:13" ht="20.100000000000001" customHeight="1" x14ac:dyDescent="0.2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">
      <c r="A4" s="79" t="str">
        <f>"HOSPITAL NAME: "&amp;data!C84</f>
        <v>HOSPITAL NAME: St. Francis Hospital</v>
      </c>
      <c r="B4" s="77"/>
      <c r="C4" s="77"/>
      <c r="D4" s="77"/>
      <c r="E4" s="77"/>
      <c r="F4" s="77"/>
      <c r="G4" s="80"/>
      <c r="H4" s="79" t="str">
        <f>"FYE: "&amp;data!C82</f>
        <v>FYE: 06/30/2020</v>
      </c>
    </row>
    <row r="5" spans="1:13" ht="20.100000000000001" customHeight="1" x14ac:dyDescent="0.2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">
      <c r="A9" s="23">
        <v>4</v>
      </c>
      <c r="B9" s="14" t="s">
        <v>233</v>
      </c>
      <c r="C9" s="14">
        <f>data!C59</f>
        <v>4166</v>
      </c>
      <c r="D9" s="14">
        <f>data!D59</f>
        <v>0</v>
      </c>
      <c r="E9" s="14">
        <f>data!E59</f>
        <v>25754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">
      <c r="A10" s="23">
        <v>5</v>
      </c>
      <c r="B10" s="14" t="s">
        <v>234</v>
      </c>
      <c r="C10" s="26">
        <f>data!C60</f>
        <v>42.51</v>
      </c>
      <c r="D10" s="26">
        <f>data!D60</f>
        <v>0</v>
      </c>
      <c r="E10" s="26">
        <f>data!E60</f>
        <v>211.25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">
      <c r="A11" s="23">
        <v>6</v>
      </c>
      <c r="B11" s="14" t="s">
        <v>235</v>
      </c>
      <c r="C11" s="14">
        <f>data!C61</f>
        <v>4693453.4799999995</v>
      </c>
      <c r="D11" s="14">
        <f>data!D61</f>
        <v>0</v>
      </c>
      <c r="E11" s="14">
        <f>data!E61</f>
        <v>18500483.010000002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">
      <c r="A12" s="23">
        <v>7</v>
      </c>
      <c r="B12" s="14" t="s">
        <v>3</v>
      </c>
      <c r="C12" s="14">
        <f>data!C62</f>
        <v>1073457</v>
      </c>
      <c r="D12" s="14">
        <f>data!D62</f>
        <v>0</v>
      </c>
      <c r="E12" s="14">
        <f>data!E62</f>
        <v>4902208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">
      <c r="A13" s="23">
        <v>8</v>
      </c>
      <c r="B13" s="14" t="s">
        <v>236</v>
      </c>
      <c r="C13" s="14">
        <f>data!C63</f>
        <v>1731668.17</v>
      </c>
      <c r="D13" s="14">
        <f>data!D63</f>
        <v>0</v>
      </c>
      <c r="E13" s="14">
        <f>data!E63</f>
        <v>38750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">
      <c r="A14" s="23">
        <v>9</v>
      </c>
      <c r="B14" s="14" t="s">
        <v>237</v>
      </c>
      <c r="C14" s="14">
        <f>data!C64</f>
        <v>586257.9</v>
      </c>
      <c r="D14" s="14">
        <f>data!D64</f>
        <v>0</v>
      </c>
      <c r="E14" s="14">
        <f>data!E64</f>
        <v>1195205.79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">
      <c r="A15" s="23">
        <v>10</v>
      </c>
      <c r="B15" s="14" t="s">
        <v>444</v>
      </c>
      <c r="C15" s="14">
        <f>data!C65</f>
        <v>438.34</v>
      </c>
      <c r="D15" s="14">
        <f>data!D65</f>
        <v>0</v>
      </c>
      <c r="E15" s="14">
        <f>data!E65</f>
        <v>4735.83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">
      <c r="A16" s="23">
        <v>11</v>
      </c>
      <c r="B16" s="14" t="s">
        <v>445</v>
      </c>
      <c r="C16" s="14">
        <f>data!C66</f>
        <v>34328.69</v>
      </c>
      <c r="D16" s="14">
        <f>data!D66</f>
        <v>0</v>
      </c>
      <c r="E16" s="14">
        <f>data!E66</f>
        <v>311096.39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">
      <c r="A17" s="23">
        <v>12</v>
      </c>
      <c r="B17" s="14" t="s">
        <v>6</v>
      </c>
      <c r="C17" s="14">
        <f>data!C67</f>
        <v>355487</v>
      </c>
      <c r="D17" s="14">
        <f>data!D67</f>
        <v>0</v>
      </c>
      <c r="E17" s="14">
        <f>data!E67</f>
        <v>862440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">
      <c r="A18" s="23">
        <v>13</v>
      </c>
      <c r="B18" s="14" t="s">
        <v>474</v>
      </c>
      <c r="C18" s="14">
        <f>data!C68</f>
        <v>4554.37</v>
      </c>
      <c r="D18" s="14">
        <f>data!D68</f>
        <v>0</v>
      </c>
      <c r="E18" s="14">
        <f>data!E68</f>
        <v>25385.57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">
      <c r="A19" s="23">
        <v>14</v>
      </c>
      <c r="B19" s="14" t="s">
        <v>241</v>
      </c>
      <c r="C19" s="14">
        <f>data!C69</f>
        <v>15028.7</v>
      </c>
      <c r="D19" s="14">
        <f>data!D69</f>
        <v>0</v>
      </c>
      <c r="E19" s="14">
        <f>data!E69</f>
        <v>52688.82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-4000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">
      <c r="A21" s="23">
        <v>16</v>
      </c>
      <c r="B21" s="48" t="s">
        <v>1180</v>
      </c>
      <c r="C21" s="14">
        <f>data!C71</f>
        <v>8494673.6499999985</v>
      </c>
      <c r="D21" s="14">
        <f>data!D71</f>
        <v>0</v>
      </c>
      <c r="E21" s="14">
        <f>data!E71</f>
        <v>25888993.41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">
      <c r="A23" s="23">
        <v>18</v>
      </c>
      <c r="B23" s="14" t="s">
        <v>1181</v>
      </c>
      <c r="C23" s="48">
        <f>+data!M668</f>
        <v>3544427</v>
      </c>
      <c r="D23" s="48">
        <f>+data!M669</f>
        <v>0</v>
      </c>
      <c r="E23" s="48">
        <f>+data!M670</f>
        <v>14324301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">
      <c r="A24" s="23">
        <v>19</v>
      </c>
      <c r="B24" s="48" t="s">
        <v>1182</v>
      </c>
      <c r="C24" s="14">
        <f>data!C73</f>
        <v>28333611.649999999</v>
      </c>
      <c r="D24" s="14">
        <f>data!D73</f>
        <v>0</v>
      </c>
      <c r="E24" s="14">
        <f>data!E73</f>
        <v>97400852.379999995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">
      <c r="A25" s="23">
        <v>20</v>
      </c>
      <c r="B25" s="48" t="s">
        <v>1183</v>
      </c>
      <c r="C25" s="14">
        <f>data!C74</f>
        <v>187777.7</v>
      </c>
      <c r="D25" s="14">
        <f>data!D74</f>
        <v>0</v>
      </c>
      <c r="E25" s="14">
        <f>data!E74</f>
        <v>28631289.539999999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">
      <c r="A26" s="23">
        <v>21</v>
      </c>
      <c r="B26" s="48" t="s">
        <v>1184</v>
      </c>
      <c r="C26" s="14">
        <f>data!C75</f>
        <v>28521389.349999998</v>
      </c>
      <c r="D26" s="14">
        <f>data!D75</f>
        <v>0</v>
      </c>
      <c r="E26" s="14">
        <f>data!E75</f>
        <v>126032141.91999999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">
      <c r="A28" s="23">
        <v>22</v>
      </c>
      <c r="B28" s="14" t="s">
        <v>1186</v>
      </c>
      <c r="C28" s="14">
        <f>data!C76</f>
        <v>11112</v>
      </c>
      <c r="D28" s="14">
        <f>data!D76</f>
        <v>0</v>
      </c>
      <c r="E28" s="14">
        <f>data!E76</f>
        <v>48910.54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">
      <c r="A29" s="23">
        <v>23</v>
      </c>
      <c r="B29" s="14" t="s">
        <v>1187</v>
      </c>
      <c r="C29" s="14">
        <f>data!C77</f>
        <v>6365</v>
      </c>
      <c r="D29" s="14">
        <f>data!D77</f>
        <v>0</v>
      </c>
      <c r="E29" s="14">
        <f>data!E77</f>
        <v>50673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">
      <c r="A30" s="23">
        <v>24</v>
      </c>
      <c r="B30" s="14" t="s">
        <v>1188</v>
      </c>
      <c r="C30" s="14">
        <f>data!C78</f>
        <v>4783.8100000000004</v>
      </c>
      <c r="D30" s="14">
        <f>data!D78</f>
        <v>0</v>
      </c>
      <c r="E30" s="14">
        <f>data!E78</f>
        <v>21056.42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293601.40000000002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">
      <c r="A32" s="23">
        <v>26</v>
      </c>
      <c r="B32" s="14" t="s">
        <v>252</v>
      </c>
      <c r="C32" s="84">
        <f>data!C80</f>
        <v>31.44</v>
      </c>
      <c r="D32" s="84">
        <f>data!D80</f>
        <v>0</v>
      </c>
      <c r="E32" s="84">
        <f>data!E80</f>
        <v>121.29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">
      <c r="A36" s="79" t="str">
        <f>"HOSPITAL NAME: "&amp;data!C84</f>
        <v>HOSPITAL NAME: St. Francis Hospital</v>
      </c>
      <c r="B36" s="77"/>
      <c r="C36" s="77"/>
      <c r="D36" s="77"/>
      <c r="E36" s="77"/>
      <c r="F36" s="77"/>
      <c r="G36" s="80"/>
      <c r="H36" s="79" t="str">
        <f>"FYE: "&amp;data!C82</f>
        <v>FYE: 06/30/2020</v>
      </c>
    </row>
    <row r="37" spans="1:9" ht="20.100000000000001" customHeight="1" x14ac:dyDescent="0.2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5191</v>
      </c>
      <c r="I41" s="14">
        <f>data!P59</f>
        <v>595187</v>
      </c>
    </row>
    <row r="42" spans="1:9" ht="20.100000000000001" customHeight="1" x14ac:dyDescent="0.2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53.18</v>
      </c>
      <c r="I42" s="26">
        <f>data!P60</f>
        <v>95.64</v>
      </c>
    </row>
    <row r="43" spans="1:9" ht="20.100000000000001" customHeight="1" x14ac:dyDescent="0.2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5716005.3899999997</v>
      </c>
      <c r="I43" s="14">
        <f>data!P61</f>
        <v>9081151.2699999996</v>
      </c>
    </row>
    <row r="44" spans="1:9" ht="20.100000000000001" customHeight="1" x14ac:dyDescent="0.2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1370100</v>
      </c>
      <c r="I44" s="14">
        <f>data!P62</f>
        <v>2202173</v>
      </c>
    </row>
    <row r="45" spans="1:9" ht="20.100000000000001" customHeight="1" x14ac:dyDescent="0.2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723123.28</v>
      </c>
      <c r="I45" s="14">
        <f>data!P63</f>
        <v>4385255.3099999996</v>
      </c>
    </row>
    <row r="46" spans="1:9" ht="20.100000000000001" customHeight="1" x14ac:dyDescent="0.2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500424.93</v>
      </c>
      <c r="I46" s="14">
        <f>data!P64</f>
        <v>16644038.73</v>
      </c>
    </row>
    <row r="47" spans="1:9" ht="20.100000000000001" customHeight="1" x14ac:dyDescent="0.2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1715</v>
      </c>
      <c r="I47" s="14">
        <f>data!P65</f>
        <v>19310.849999999999</v>
      </c>
    </row>
    <row r="48" spans="1:9" ht="20.100000000000001" customHeight="1" x14ac:dyDescent="0.2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318246.19</v>
      </c>
      <c r="I48" s="14">
        <f>data!P66</f>
        <v>2373980.25</v>
      </c>
    </row>
    <row r="49" spans="1:9" ht="20.100000000000001" customHeight="1" x14ac:dyDescent="0.2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224020</v>
      </c>
      <c r="I49" s="14">
        <f>data!P67</f>
        <v>4353927</v>
      </c>
    </row>
    <row r="50" spans="1:9" ht="20.100000000000001" customHeight="1" x14ac:dyDescent="0.2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5578.21</v>
      </c>
      <c r="I50" s="14">
        <f>data!P68</f>
        <v>758747.18</v>
      </c>
    </row>
    <row r="51" spans="1:9" ht="20.100000000000001" customHeight="1" x14ac:dyDescent="0.2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46310</v>
      </c>
      <c r="I51" s="14">
        <f>data!P69</f>
        <v>74248.58</v>
      </c>
    </row>
    <row r="52" spans="1:9" ht="20.100000000000001" customHeight="1" x14ac:dyDescent="0.2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-4399.74</v>
      </c>
      <c r="I52" s="14">
        <f>-data!P70</f>
        <v>-68621</v>
      </c>
    </row>
    <row r="53" spans="1:9" ht="20.100000000000001" customHeight="1" x14ac:dyDescent="0.2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8901123.2599999998</v>
      </c>
      <c r="I53" s="14">
        <f>data!P71</f>
        <v>39824211.169999994</v>
      </c>
    </row>
    <row r="54" spans="1:9" ht="20.100000000000001" customHeight="1" x14ac:dyDescent="0.2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3238371</v>
      </c>
      <c r="I55" s="48">
        <f>+data!M681</f>
        <v>15295618</v>
      </c>
    </row>
    <row r="56" spans="1:9" ht="20.100000000000001" customHeight="1" x14ac:dyDescent="0.2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43422572.649999999</v>
      </c>
      <c r="I56" s="14">
        <f>data!P73</f>
        <v>141741411.94999999</v>
      </c>
    </row>
    <row r="57" spans="1:9" ht="20.100000000000001" customHeight="1" x14ac:dyDescent="0.2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2660420.85</v>
      </c>
      <c r="I57" s="14">
        <f>data!P74</f>
        <v>263750297.19999999</v>
      </c>
    </row>
    <row r="58" spans="1:9" ht="20.100000000000001" customHeight="1" x14ac:dyDescent="0.2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46082993.5</v>
      </c>
      <c r="I58" s="14">
        <f>data!P75</f>
        <v>405491709.14999998</v>
      </c>
    </row>
    <row r="59" spans="1:9" ht="20.100000000000001" customHeight="1" x14ac:dyDescent="0.2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4254</v>
      </c>
      <c r="I60" s="14">
        <f>data!P76</f>
        <v>23570</v>
      </c>
    </row>
    <row r="61" spans="1:9" ht="20.100000000000001" customHeight="1" x14ac:dyDescent="0.2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6941</v>
      </c>
      <c r="I61" s="14">
        <f>data!P77</f>
        <v>24935</v>
      </c>
    </row>
    <row r="62" spans="1:9" ht="20.100000000000001" customHeight="1" x14ac:dyDescent="0.2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1304.44</v>
      </c>
      <c r="I62" s="14">
        <f>data!P78</f>
        <v>10147.18</v>
      </c>
    </row>
    <row r="63" spans="1:9" ht="20.100000000000001" customHeight="1" x14ac:dyDescent="0.2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112327.81</v>
      </c>
      <c r="I63" s="14">
        <f>data!P79</f>
        <v>270990.92</v>
      </c>
    </row>
    <row r="64" spans="1:9" ht="20.100000000000001" customHeight="1" x14ac:dyDescent="0.2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35.380000000000003</v>
      </c>
      <c r="I64" s="26">
        <f>data!P80</f>
        <v>39.99</v>
      </c>
    </row>
    <row r="65" spans="1:9" ht="20.100000000000001" customHeight="1" x14ac:dyDescent="0.2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">
      <c r="A68" s="79" t="str">
        <f>"HOSPITAL NAME: "&amp;data!C84</f>
        <v>HOSPITAL NAME: St. Francis Hospital</v>
      </c>
      <c r="B68" s="77"/>
      <c r="C68" s="77"/>
      <c r="D68" s="77"/>
      <c r="E68" s="77"/>
      <c r="F68" s="77"/>
      <c r="G68" s="80"/>
      <c r="H68" s="79" t="str">
        <f>"FYE: "&amp;data!C82</f>
        <v>FYE: 06/30/2020</v>
      </c>
    </row>
    <row r="69" spans="1:9" ht="20.100000000000001" customHeight="1" x14ac:dyDescent="0.2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">
      <c r="A73" s="23">
        <v>4</v>
      </c>
      <c r="B73" s="14" t="s">
        <v>233</v>
      </c>
      <c r="C73" s="14">
        <f>data!Q59</f>
        <v>17580</v>
      </c>
      <c r="D73" s="48">
        <f>data!R59</f>
        <v>0</v>
      </c>
      <c r="E73" s="212"/>
      <c r="F73" s="212"/>
      <c r="G73" s="14">
        <f>data!U59</f>
        <v>462930</v>
      </c>
      <c r="H73" s="14">
        <f>data!V59</f>
        <v>0</v>
      </c>
      <c r="I73" s="14">
        <f>data!W59</f>
        <v>0</v>
      </c>
    </row>
    <row r="74" spans="1:9" ht="20.100000000000001" customHeight="1" x14ac:dyDescent="0.2">
      <c r="A74" s="23">
        <v>5</v>
      </c>
      <c r="B74" s="14" t="s">
        <v>234</v>
      </c>
      <c r="C74" s="26">
        <f>data!Q60</f>
        <v>26.25</v>
      </c>
      <c r="D74" s="26">
        <f>data!R60</f>
        <v>0</v>
      </c>
      <c r="E74" s="26">
        <f>data!S60</f>
        <v>15.61</v>
      </c>
      <c r="F74" s="26">
        <f>data!T60</f>
        <v>2.62</v>
      </c>
      <c r="G74" s="26">
        <f>data!U60</f>
        <v>25.75</v>
      </c>
      <c r="H74" s="26">
        <f>data!V60</f>
        <v>5.0999999999999996</v>
      </c>
      <c r="I74" s="26">
        <f>data!W60</f>
        <v>3.25</v>
      </c>
    </row>
    <row r="75" spans="1:9" ht="20.100000000000001" customHeight="1" x14ac:dyDescent="0.2">
      <c r="A75" s="23">
        <v>6</v>
      </c>
      <c r="B75" s="14" t="s">
        <v>235</v>
      </c>
      <c r="C75" s="14">
        <f>data!Q61</f>
        <v>3206680.4799999995</v>
      </c>
      <c r="D75" s="14">
        <f>data!R61</f>
        <v>0</v>
      </c>
      <c r="E75" s="14">
        <f>data!S61</f>
        <v>791584.64</v>
      </c>
      <c r="F75" s="14">
        <f>data!T61</f>
        <v>314116.75</v>
      </c>
      <c r="G75" s="14">
        <f>data!U61</f>
        <v>1866470.92</v>
      </c>
      <c r="H75" s="14">
        <f>data!V61</f>
        <v>540934.91</v>
      </c>
      <c r="I75" s="14">
        <f>data!W61</f>
        <v>524483.18000000005</v>
      </c>
    </row>
    <row r="76" spans="1:9" ht="20.100000000000001" customHeight="1" x14ac:dyDescent="0.2">
      <c r="A76" s="23">
        <v>7</v>
      </c>
      <c r="B76" s="14" t="s">
        <v>3</v>
      </c>
      <c r="C76" s="14">
        <f>data!Q62</f>
        <v>682056</v>
      </c>
      <c r="D76" s="14">
        <f>data!R62</f>
        <v>0</v>
      </c>
      <c r="E76" s="14">
        <f>data!S62</f>
        <v>294985</v>
      </c>
      <c r="F76" s="14">
        <f>data!T62</f>
        <v>71976</v>
      </c>
      <c r="G76" s="14">
        <f>data!U62</f>
        <v>557127</v>
      </c>
      <c r="H76" s="14">
        <f>data!V62</f>
        <v>131857</v>
      </c>
      <c r="I76" s="14">
        <f>data!W62</f>
        <v>100790</v>
      </c>
    </row>
    <row r="77" spans="1:9" ht="20.100000000000001" customHeight="1" x14ac:dyDescent="0.2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28426.99</v>
      </c>
      <c r="H77" s="14">
        <f>data!V63</f>
        <v>0</v>
      </c>
      <c r="I77" s="14">
        <f>data!W63</f>
        <v>0</v>
      </c>
    </row>
    <row r="78" spans="1:9" ht="20.100000000000001" customHeight="1" x14ac:dyDescent="0.2">
      <c r="A78" s="23">
        <v>9</v>
      </c>
      <c r="B78" s="14" t="s">
        <v>237</v>
      </c>
      <c r="C78" s="14">
        <f>data!Q64</f>
        <v>236213.48</v>
      </c>
      <c r="D78" s="14">
        <f>data!R64</f>
        <v>0</v>
      </c>
      <c r="E78" s="14">
        <f>data!S64</f>
        <v>-338617.26</v>
      </c>
      <c r="F78" s="14">
        <f>data!T64</f>
        <v>279866.68</v>
      </c>
      <c r="G78" s="14">
        <f>data!U64</f>
        <v>1576119.17</v>
      </c>
      <c r="H78" s="14">
        <f>data!V64</f>
        <v>89906.98</v>
      </c>
      <c r="I78" s="14">
        <f>data!W64</f>
        <v>29054.45</v>
      </c>
    </row>
    <row r="79" spans="1:9" ht="20.100000000000001" customHeight="1" x14ac:dyDescent="0.2">
      <c r="A79" s="23">
        <v>10</v>
      </c>
      <c r="B79" s="14" t="s">
        <v>444</v>
      </c>
      <c r="C79" s="14">
        <f>data!Q65</f>
        <v>1018.38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297.97000000000003</v>
      </c>
      <c r="H79" s="14">
        <f>data!V65</f>
        <v>381.37</v>
      </c>
      <c r="I79" s="14">
        <f>data!W65</f>
        <v>90.28</v>
      </c>
    </row>
    <row r="80" spans="1:9" ht="20.100000000000001" customHeight="1" x14ac:dyDescent="0.2">
      <c r="A80" s="23">
        <v>11</v>
      </c>
      <c r="B80" s="14" t="s">
        <v>445</v>
      </c>
      <c r="C80" s="14">
        <f>data!Q66</f>
        <v>41293.32</v>
      </c>
      <c r="D80" s="14">
        <f>data!R66</f>
        <v>0</v>
      </c>
      <c r="E80" s="14">
        <f>data!S66</f>
        <v>60806.66</v>
      </c>
      <c r="F80" s="14">
        <f>data!T66</f>
        <v>0</v>
      </c>
      <c r="G80" s="14">
        <f>data!U66</f>
        <v>1717566.03</v>
      </c>
      <c r="H80" s="14">
        <f>data!V66</f>
        <v>64923.81</v>
      </c>
      <c r="I80" s="14">
        <f>data!W66</f>
        <v>110029.34</v>
      </c>
    </row>
    <row r="81" spans="1:9" ht="20.100000000000001" customHeight="1" x14ac:dyDescent="0.2">
      <c r="A81" s="23">
        <v>12</v>
      </c>
      <c r="B81" s="14" t="s">
        <v>6</v>
      </c>
      <c r="C81" s="14">
        <f>data!Q67</f>
        <v>20046</v>
      </c>
      <c r="D81" s="14">
        <f>data!R67</f>
        <v>0</v>
      </c>
      <c r="E81" s="14">
        <f>data!S67</f>
        <v>87572</v>
      </c>
      <c r="F81" s="14">
        <f>data!T67</f>
        <v>7650</v>
      </c>
      <c r="G81" s="14">
        <f>data!U67</f>
        <v>165107</v>
      </c>
      <c r="H81" s="14">
        <f>data!V67</f>
        <v>79832</v>
      </c>
      <c r="I81" s="14">
        <f>data!W67</f>
        <v>0</v>
      </c>
    </row>
    <row r="82" spans="1:9" ht="20.100000000000001" customHeight="1" x14ac:dyDescent="0.2">
      <c r="A82" s="23">
        <v>13</v>
      </c>
      <c r="B82" s="14" t="s">
        <v>474</v>
      </c>
      <c r="C82" s="14">
        <f>data!Q68</f>
        <v>1766.72</v>
      </c>
      <c r="D82" s="14">
        <f>data!R68</f>
        <v>0</v>
      </c>
      <c r="E82" s="14">
        <f>data!S68</f>
        <v>50342.02</v>
      </c>
      <c r="F82" s="14">
        <f>data!T68</f>
        <v>0</v>
      </c>
      <c r="G82" s="14">
        <f>data!U68</f>
        <v>101679.33</v>
      </c>
      <c r="H82" s="14">
        <f>data!V68</f>
        <v>57143.58</v>
      </c>
      <c r="I82" s="14">
        <f>data!W68</f>
        <v>261.63</v>
      </c>
    </row>
    <row r="83" spans="1:9" ht="20.100000000000001" customHeight="1" x14ac:dyDescent="0.2">
      <c r="A83" s="23">
        <v>14</v>
      </c>
      <c r="B83" s="14" t="s">
        <v>241</v>
      </c>
      <c r="C83" s="14">
        <f>data!Q69</f>
        <v>10183.879999999999</v>
      </c>
      <c r="D83" s="14">
        <f>data!R69</f>
        <v>0</v>
      </c>
      <c r="E83" s="14">
        <f>data!S69</f>
        <v>11764.2</v>
      </c>
      <c r="F83" s="14">
        <f>data!T69</f>
        <v>385</v>
      </c>
      <c r="G83" s="14">
        <f>data!U69</f>
        <v>49269.23</v>
      </c>
      <c r="H83" s="14">
        <f>data!V69</f>
        <v>698.62</v>
      </c>
      <c r="I83" s="14">
        <f>data!W69</f>
        <v>160</v>
      </c>
    </row>
    <row r="84" spans="1:9" ht="20.100000000000001" customHeight="1" x14ac:dyDescent="0.2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-1800</v>
      </c>
      <c r="F84" s="14">
        <f>-data!T70</f>
        <v>0</v>
      </c>
      <c r="G84" s="14">
        <f>-data!U70</f>
        <v>-123702.26</v>
      </c>
      <c r="H84" s="14">
        <f>-data!V70</f>
        <v>0</v>
      </c>
      <c r="I84" s="14">
        <f>-data!W70</f>
        <v>0</v>
      </c>
    </row>
    <row r="85" spans="1:9" ht="20.100000000000001" customHeight="1" x14ac:dyDescent="0.2">
      <c r="A85" s="23">
        <v>16</v>
      </c>
      <c r="B85" s="48" t="s">
        <v>1180</v>
      </c>
      <c r="C85" s="14">
        <f>data!Q71</f>
        <v>4199258.26</v>
      </c>
      <c r="D85" s="14">
        <f>data!R71</f>
        <v>0</v>
      </c>
      <c r="E85" s="14">
        <f>data!S71</f>
        <v>956637.26000000013</v>
      </c>
      <c r="F85" s="14">
        <f>data!T71</f>
        <v>673994.42999999993</v>
      </c>
      <c r="G85" s="14">
        <f>data!U71</f>
        <v>5938361.3800000008</v>
      </c>
      <c r="H85" s="14">
        <f>data!V71</f>
        <v>965678.27</v>
      </c>
      <c r="I85" s="14">
        <f>data!W71</f>
        <v>764868.88</v>
      </c>
    </row>
    <row r="86" spans="1:9" ht="20.100000000000001" customHeight="1" x14ac:dyDescent="0.2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">
      <c r="A87" s="23">
        <v>18</v>
      </c>
      <c r="B87" s="14" t="s">
        <v>1181</v>
      </c>
      <c r="C87" s="48">
        <f>+data!M682</f>
        <v>1394930</v>
      </c>
      <c r="D87" s="48">
        <f>+data!M683</f>
        <v>0</v>
      </c>
      <c r="E87" s="48">
        <f>+data!M684</f>
        <v>716222</v>
      </c>
      <c r="F87" s="48">
        <f>+data!M685</f>
        <v>199805</v>
      </c>
      <c r="G87" s="48">
        <f>+data!M686</f>
        <v>2472389</v>
      </c>
      <c r="H87" s="48">
        <f>+data!M687</f>
        <v>352361</v>
      </c>
      <c r="I87" s="48">
        <f>+data!M688</f>
        <v>360596</v>
      </c>
    </row>
    <row r="88" spans="1:9" ht="20.100000000000001" customHeight="1" x14ac:dyDescent="0.2">
      <c r="A88" s="23">
        <v>19</v>
      </c>
      <c r="B88" s="48" t="s">
        <v>1182</v>
      </c>
      <c r="C88" s="14">
        <f>data!Q73</f>
        <v>7848711.9800000004</v>
      </c>
      <c r="D88" s="14">
        <f>data!R73</f>
        <v>0</v>
      </c>
      <c r="E88" s="14">
        <f>data!S73</f>
        <v>0</v>
      </c>
      <c r="F88" s="14">
        <f>data!T73</f>
        <v>3989205.1</v>
      </c>
      <c r="G88" s="14">
        <f>data!U73</f>
        <v>34766353.369999997</v>
      </c>
      <c r="H88" s="14">
        <f>data!V73</f>
        <v>7740495.8700000001</v>
      </c>
      <c r="I88" s="14">
        <f>data!W73</f>
        <v>4669679.79</v>
      </c>
    </row>
    <row r="89" spans="1:9" ht="20.100000000000001" customHeight="1" x14ac:dyDescent="0.2">
      <c r="A89" s="23">
        <v>20</v>
      </c>
      <c r="B89" s="48" t="s">
        <v>1183</v>
      </c>
      <c r="C89" s="14">
        <f>data!Q74</f>
        <v>16276871.49</v>
      </c>
      <c r="D89" s="14">
        <f>data!R74</f>
        <v>0</v>
      </c>
      <c r="E89" s="14">
        <f>data!S74</f>
        <v>0</v>
      </c>
      <c r="F89" s="14">
        <f>data!T74</f>
        <v>303527.38</v>
      </c>
      <c r="G89" s="14">
        <f>data!U74</f>
        <v>34501424.670000002</v>
      </c>
      <c r="H89" s="14">
        <f>data!V74</f>
        <v>7616527.0099999998</v>
      </c>
      <c r="I89" s="14">
        <f>data!W74</f>
        <v>15443389.6</v>
      </c>
    </row>
    <row r="90" spans="1:9" ht="20.100000000000001" customHeight="1" x14ac:dyDescent="0.2">
      <c r="A90" s="23">
        <v>21</v>
      </c>
      <c r="B90" s="48" t="s">
        <v>1184</v>
      </c>
      <c r="C90" s="14">
        <f>data!Q75</f>
        <v>24125583.469999999</v>
      </c>
      <c r="D90" s="14">
        <f>data!R75</f>
        <v>0</v>
      </c>
      <c r="E90" s="14">
        <f>data!S75</f>
        <v>0</v>
      </c>
      <c r="F90" s="14">
        <f>data!T75</f>
        <v>4292732.4800000004</v>
      </c>
      <c r="G90" s="14">
        <f>data!U75</f>
        <v>69267778.039999992</v>
      </c>
      <c r="H90" s="14">
        <f>data!V75</f>
        <v>15357022.879999999</v>
      </c>
      <c r="I90" s="14">
        <f>data!W75</f>
        <v>20113069.390000001</v>
      </c>
    </row>
    <row r="91" spans="1:9" ht="20.100000000000001" customHeight="1" x14ac:dyDescent="0.2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">
      <c r="A92" s="23">
        <v>22</v>
      </c>
      <c r="B92" s="14" t="s">
        <v>1186</v>
      </c>
      <c r="C92" s="14">
        <f>data!Q76</f>
        <v>1238</v>
      </c>
      <c r="D92" s="14">
        <f>data!R76</f>
        <v>0</v>
      </c>
      <c r="E92" s="14">
        <f>data!S76</f>
        <v>5572</v>
      </c>
      <c r="F92" s="14">
        <f>data!T76</f>
        <v>0</v>
      </c>
      <c r="G92" s="14">
        <f>data!U76</f>
        <v>6711</v>
      </c>
      <c r="H92" s="14">
        <f>data!V76</f>
        <v>0</v>
      </c>
      <c r="I92" s="14">
        <f>data!W76</f>
        <v>0</v>
      </c>
    </row>
    <row r="93" spans="1:9" ht="20.100000000000001" customHeight="1" x14ac:dyDescent="0.2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">
      <c r="A94" s="23">
        <v>24</v>
      </c>
      <c r="B94" s="14" t="s">
        <v>1188</v>
      </c>
      <c r="C94" s="14">
        <f>data!Q78</f>
        <v>532.97</v>
      </c>
      <c r="D94" s="14">
        <f>data!R78</f>
        <v>0</v>
      </c>
      <c r="E94" s="14">
        <f>data!S78</f>
        <v>2398.8000000000002</v>
      </c>
      <c r="F94" s="14">
        <f>data!T78</f>
        <v>0</v>
      </c>
      <c r="G94" s="14">
        <f>data!U78</f>
        <v>2889.14</v>
      </c>
      <c r="H94" s="14">
        <f>data!V78</f>
        <v>0</v>
      </c>
      <c r="I94" s="14">
        <f>data!W78</f>
        <v>0</v>
      </c>
    </row>
    <row r="95" spans="1:9" ht="20.100000000000001" customHeight="1" x14ac:dyDescent="0.2">
      <c r="A95" s="23">
        <v>25</v>
      </c>
      <c r="B95" s="14" t="s">
        <v>1189</v>
      </c>
      <c r="C95" s="14">
        <f>data!Q79</f>
        <v>6207.63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">
      <c r="A96" s="23">
        <v>26</v>
      </c>
      <c r="B96" s="14" t="s">
        <v>252</v>
      </c>
      <c r="C96" s="84">
        <f>data!Q80</f>
        <v>18.3</v>
      </c>
      <c r="D96" s="84">
        <f>data!R80</f>
        <v>0</v>
      </c>
      <c r="E96" s="84">
        <f>data!S80</f>
        <v>0</v>
      </c>
      <c r="F96" s="84">
        <f>data!T80</f>
        <v>2.2599999999999998</v>
      </c>
      <c r="G96" s="84">
        <f>data!U80</f>
        <v>0</v>
      </c>
      <c r="H96" s="84">
        <f>data!V80</f>
        <v>0.75</v>
      </c>
      <c r="I96" s="84">
        <f>data!W80</f>
        <v>0</v>
      </c>
    </row>
    <row r="97" spans="1:9" ht="20.100000000000001" customHeight="1" x14ac:dyDescent="0.2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">
      <c r="A100" s="79" t="str">
        <f>"HOSPITAL NAME: "&amp;data!C84</f>
        <v>HOSPITAL NAME: St. Francis Hospital</v>
      </c>
      <c r="B100" s="77"/>
      <c r="C100" s="77"/>
      <c r="D100" s="77"/>
      <c r="E100" s="77"/>
      <c r="F100" s="77"/>
      <c r="G100" s="80"/>
      <c r="H100" s="79" t="str">
        <f>"FYE: "&amp;data!C82</f>
        <v>FYE: 06/30/2020</v>
      </c>
    </row>
    <row r="101" spans="1:9" ht="20.100000000000001" customHeight="1" x14ac:dyDescent="0.2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">
      <c r="A105" s="23">
        <v>4</v>
      </c>
      <c r="B105" s="14" t="s">
        <v>233</v>
      </c>
      <c r="C105" s="14">
        <f>data!X59</f>
        <v>20862</v>
      </c>
      <c r="D105" s="14">
        <f>data!Y59</f>
        <v>159643</v>
      </c>
      <c r="E105" s="14">
        <f>data!Z59</f>
        <v>0</v>
      </c>
      <c r="F105" s="14">
        <f>data!AA59</f>
        <v>1610</v>
      </c>
      <c r="G105" s="212"/>
      <c r="H105" s="14">
        <f>data!AC59</f>
        <v>38416</v>
      </c>
      <c r="I105" s="14">
        <f>data!AD59</f>
        <v>0</v>
      </c>
    </row>
    <row r="106" spans="1:9" ht="20.100000000000001" customHeight="1" x14ac:dyDescent="0.2">
      <c r="A106" s="23">
        <v>5</v>
      </c>
      <c r="B106" s="14" t="s">
        <v>234</v>
      </c>
      <c r="C106" s="26">
        <f>data!X60</f>
        <v>7.91</v>
      </c>
      <c r="D106" s="26">
        <f>data!Y60</f>
        <v>32.6</v>
      </c>
      <c r="E106" s="26">
        <f>data!Z60</f>
        <v>5.24</v>
      </c>
      <c r="F106" s="26">
        <f>data!AA60</f>
        <v>3.06</v>
      </c>
      <c r="G106" s="26">
        <f>data!AB60</f>
        <v>23.73</v>
      </c>
      <c r="H106" s="26">
        <f>data!AC60</f>
        <v>12.32</v>
      </c>
      <c r="I106" s="26">
        <f>data!AD60</f>
        <v>0</v>
      </c>
    </row>
    <row r="107" spans="1:9" ht="20.100000000000001" customHeight="1" x14ac:dyDescent="0.2">
      <c r="A107" s="23">
        <v>6</v>
      </c>
      <c r="B107" s="14" t="s">
        <v>235</v>
      </c>
      <c r="C107" s="14">
        <f>data!X61</f>
        <v>840117.04</v>
      </c>
      <c r="D107" s="14">
        <f>data!Y61</f>
        <v>2879981.13</v>
      </c>
      <c r="E107" s="14">
        <f>data!Z61</f>
        <v>624684.48</v>
      </c>
      <c r="F107" s="14">
        <f>data!AA61</f>
        <v>331589.71000000002</v>
      </c>
      <c r="G107" s="14">
        <f>data!AB61</f>
        <v>2719609.32</v>
      </c>
      <c r="H107" s="14">
        <f>data!AC61</f>
        <v>1196541</v>
      </c>
      <c r="I107" s="14">
        <f>data!AD61</f>
        <v>0</v>
      </c>
    </row>
    <row r="108" spans="1:9" ht="20.100000000000001" customHeight="1" x14ac:dyDescent="0.2">
      <c r="A108" s="23">
        <v>7</v>
      </c>
      <c r="B108" s="14" t="s">
        <v>3</v>
      </c>
      <c r="C108" s="14">
        <f>data!X62</f>
        <v>204142</v>
      </c>
      <c r="D108" s="14">
        <f>data!Y62</f>
        <v>767057</v>
      </c>
      <c r="E108" s="14">
        <f>data!Z62</f>
        <v>143109</v>
      </c>
      <c r="F108" s="14">
        <f>data!AA62</f>
        <v>79952</v>
      </c>
      <c r="G108" s="14">
        <f>data!AB62</f>
        <v>627210</v>
      </c>
      <c r="H108" s="14">
        <f>data!AC62</f>
        <v>302962</v>
      </c>
      <c r="I108" s="14">
        <f>data!AD62</f>
        <v>0</v>
      </c>
    </row>
    <row r="109" spans="1:9" ht="20.100000000000001" customHeight="1" x14ac:dyDescent="0.2">
      <c r="A109" s="23">
        <v>8</v>
      </c>
      <c r="B109" s="14" t="s">
        <v>236</v>
      </c>
      <c r="C109" s="14">
        <f>data!X63</f>
        <v>0</v>
      </c>
      <c r="D109" s="14">
        <f>data!Y63</f>
        <v>24216</v>
      </c>
      <c r="E109" s="14">
        <f>data!Z63</f>
        <v>10237.5</v>
      </c>
      <c r="F109" s="14">
        <f>data!AA63</f>
        <v>0</v>
      </c>
      <c r="G109" s="14">
        <f>data!AB63</f>
        <v>0</v>
      </c>
      <c r="H109" s="14">
        <f>data!AC63</f>
        <v>1725</v>
      </c>
      <c r="I109" s="14">
        <f>data!AD63</f>
        <v>0</v>
      </c>
    </row>
    <row r="110" spans="1:9" ht="20.100000000000001" customHeight="1" x14ac:dyDescent="0.2">
      <c r="A110" s="23">
        <v>9</v>
      </c>
      <c r="B110" s="14" t="s">
        <v>237</v>
      </c>
      <c r="C110" s="14">
        <f>data!X64</f>
        <v>195710.65</v>
      </c>
      <c r="D110" s="14">
        <f>data!Y64</f>
        <v>129072.96000000001</v>
      </c>
      <c r="E110" s="14">
        <f>data!Z64</f>
        <v>30202.01</v>
      </c>
      <c r="F110" s="14">
        <f>data!AA64</f>
        <v>248106.07</v>
      </c>
      <c r="G110" s="14">
        <f>data!AB64</f>
        <v>6868419.5099999998</v>
      </c>
      <c r="H110" s="14">
        <f>data!AC64</f>
        <v>208594.49</v>
      </c>
      <c r="I110" s="14">
        <f>data!AD64</f>
        <v>12481.38</v>
      </c>
    </row>
    <row r="111" spans="1:9" ht="20.100000000000001" customHeight="1" x14ac:dyDescent="0.2">
      <c r="A111" s="23">
        <v>10</v>
      </c>
      <c r="B111" s="14" t="s">
        <v>444</v>
      </c>
      <c r="C111" s="14">
        <f>data!X65</f>
        <v>0</v>
      </c>
      <c r="D111" s="14">
        <f>data!Y65</f>
        <v>4916.88</v>
      </c>
      <c r="E111" s="14">
        <f>data!Z65</f>
        <v>761.69</v>
      </c>
      <c r="F111" s="14">
        <f>data!AA65</f>
        <v>195.54</v>
      </c>
      <c r="G111" s="14">
        <f>data!AB65</f>
        <v>4844.57</v>
      </c>
      <c r="H111" s="14">
        <f>data!AC65</f>
        <v>483.48</v>
      </c>
      <c r="I111" s="14">
        <f>data!AD65</f>
        <v>0</v>
      </c>
    </row>
    <row r="112" spans="1:9" ht="20.100000000000001" customHeight="1" x14ac:dyDescent="0.2">
      <c r="A112" s="23">
        <v>11</v>
      </c>
      <c r="B112" s="14" t="s">
        <v>445</v>
      </c>
      <c r="C112" s="14">
        <f>data!X66</f>
        <v>64276.5</v>
      </c>
      <c r="D112" s="14">
        <f>data!Y66</f>
        <v>1199915.47</v>
      </c>
      <c r="E112" s="14">
        <f>data!Z66</f>
        <v>2043665.6</v>
      </c>
      <c r="F112" s="14">
        <f>data!AA66</f>
        <v>500946.75</v>
      </c>
      <c r="G112" s="14">
        <f>data!AB66</f>
        <v>419545.42</v>
      </c>
      <c r="H112" s="14">
        <f>data!AC66</f>
        <v>10684.76</v>
      </c>
      <c r="I112" s="14">
        <f>data!AD66</f>
        <v>693328.28</v>
      </c>
    </row>
    <row r="113" spans="1:9" ht="20.100000000000001" customHeight="1" x14ac:dyDescent="0.2">
      <c r="A113" s="23">
        <v>12</v>
      </c>
      <c r="B113" s="14" t="s">
        <v>6</v>
      </c>
      <c r="C113" s="14">
        <f>data!X67</f>
        <v>159770</v>
      </c>
      <c r="D113" s="14">
        <f>data!Y67</f>
        <v>804700</v>
      </c>
      <c r="E113" s="14">
        <f>data!Z67</f>
        <v>657055</v>
      </c>
      <c r="F113" s="14">
        <f>data!AA67</f>
        <v>15462</v>
      </c>
      <c r="G113" s="14">
        <f>data!AB67</f>
        <v>331311</v>
      </c>
      <c r="H113" s="14">
        <f>data!AC67</f>
        <v>31157</v>
      </c>
      <c r="I113" s="14">
        <f>data!AD67</f>
        <v>0</v>
      </c>
    </row>
    <row r="114" spans="1:9" ht="20.100000000000001" customHeight="1" x14ac:dyDescent="0.2">
      <c r="A114" s="23">
        <v>13</v>
      </c>
      <c r="B114" s="14" t="s">
        <v>474</v>
      </c>
      <c r="C114" s="14">
        <f>data!X68</f>
        <v>249.26</v>
      </c>
      <c r="D114" s="14">
        <f>data!Y68</f>
        <v>242194.96</v>
      </c>
      <c r="E114" s="14">
        <f>data!Z68</f>
        <v>3113.99</v>
      </c>
      <c r="F114" s="14">
        <f>data!AA68</f>
        <v>398.52</v>
      </c>
      <c r="G114" s="14">
        <f>data!AB68</f>
        <v>70777.75</v>
      </c>
      <c r="H114" s="14">
        <f>data!AC68</f>
        <v>3120.74</v>
      </c>
      <c r="I114" s="14">
        <f>data!AD68</f>
        <v>0</v>
      </c>
    </row>
    <row r="115" spans="1:9" ht="20.100000000000001" customHeight="1" x14ac:dyDescent="0.2">
      <c r="A115" s="23">
        <v>14</v>
      </c>
      <c r="B115" s="14" t="s">
        <v>241</v>
      </c>
      <c r="C115" s="14">
        <f>data!X69</f>
        <v>402</v>
      </c>
      <c r="D115" s="14">
        <f>data!Y69</f>
        <v>7193.86</v>
      </c>
      <c r="E115" s="14">
        <f>data!Z69</f>
        <v>1573.84</v>
      </c>
      <c r="F115" s="14">
        <f>data!AA69</f>
        <v>569.70000000000005</v>
      </c>
      <c r="G115" s="14">
        <f>data!AB69</f>
        <v>1176539.6000000001</v>
      </c>
      <c r="H115" s="14">
        <f>data!AC69</f>
        <v>2852.81</v>
      </c>
      <c r="I115" s="14">
        <f>data!AD69</f>
        <v>0</v>
      </c>
    </row>
    <row r="116" spans="1:9" ht="20.100000000000001" customHeight="1" x14ac:dyDescent="0.2">
      <c r="A116" s="23">
        <v>15</v>
      </c>
      <c r="B116" s="14" t="s">
        <v>242</v>
      </c>
      <c r="C116" s="14">
        <f>-data!X70</f>
        <v>0</v>
      </c>
      <c r="D116" s="14">
        <f>-data!Y70</f>
        <v>-6132.5</v>
      </c>
      <c r="E116" s="14">
        <f>-data!Z70</f>
        <v>0</v>
      </c>
      <c r="F116" s="14">
        <f>-data!AA70</f>
        <v>0</v>
      </c>
      <c r="G116" s="14">
        <f>-data!AB70</f>
        <v>-2172316.79</v>
      </c>
      <c r="H116" s="14">
        <f>-data!AC70</f>
        <v>0</v>
      </c>
      <c r="I116" s="14">
        <f>-data!AD70</f>
        <v>-13463.42</v>
      </c>
    </row>
    <row r="117" spans="1:9" ht="20.100000000000001" customHeight="1" x14ac:dyDescent="0.2">
      <c r="A117" s="23">
        <v>16</v>
      </c>
      <c r="B117" s="48" t="s">
        <v>1180</v>
      </c>
      <c r="C117" s="14">
        <f>data!X71</f>
        <v>1464667.45</v>
      </c>
      <c r="D117" s="14">
        <f>data!Y71</f>
        <v>6053115.7599999998</v>
      </c>
      <c r="E117" s="14">
        <f>data!Z71</f>
        <v>3514403.1100000003</v>
      </c>
      <c r="F117" s="14">
        <f>data!AA71</f>
        <v>1177220.29</v>
      </c>
      <c r="G117" s="14">
        <f>data!AB71</f>
        <v>10045940.379999999</v>
      </c>
      <c r="H117" s="14">
        <f>data!AC71</f>
        <v>1758121.28</v>
      </c>
      <c r="I117" s="14">
        <f>data!AD71</f>
        <v>692346.24</v>
      </c>
    </row>
    <row r="118" spans="1:9" ht="20.100000000000001" customHeight="1" x14ac:dyDescent="0.2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">
      <c r="A119" s="23">
        <v>18</v>
      </c>
      <c r="B119" s="14" t="s">
        <v>1181</v>
      </c>
      <c r="C119" s="48">
        <f>+data!M689</f>
        <v>1653837</v>
      </c>
      <c r="D119" s="48">
        <f>+data!M690</f>
        <v>3968065</v>
      </c>
      <c r="E119" s="48">
        <f>+data!M691</f>
        <v>868588</v>
      </c>
      <c r="F119" s="48">
        <f>+data!M692</f>
        <v>392981</v>
      </c>
      <c r="G119" s="48">
        <f>+data!M693</f>
        <v>4308506</v>
      </c>
      <c r="H119" s="48">
        <f>+data!M694</f>
        <v>735874</v>
      </c>
      <c r="I119" s="48">
        <f>+data!M695</f>
        <v>140738</v>
      </c>
    </row>
    <row r="120" spans="1:9" ht="20.100000000000001" customHeight="1" x14ac:dyDescent="0.2">
      <c r="A120" s="23">
        <v>19</v>
      </c>
      <c r="B120" s="48" t="s">
        <v>1182</v>
      </c>
      <c r="C120" s="14">
        <f>data!X73</f>
        <v>28403679.940000001</v>
      </c>
      <c r="D120" s="14">
        <f>data!Y73</f>
        <v>9364915.5800000001</v>
      </c>
      <c r="E120" s="14">
        <f>data!Z73</f>
        <v>417007.78</v>
      </c>
      <c r="F120" s="14">
        <f>data!AA73</f>
        <v>1053938.8700000001</v>
      </c>
      <c r="G120" s="14">
        <f>data!AB73</f>
        <v>84910212.870000005</v>
      </c>
      <c r="H120" s="14">
        <f>data!AC73</f>
        <v>20432331.670000002</v>
      </c>
      <c r="I120" s="14">
        <f>data!AD73</f>
        <v>2306948.91</v>
      </c>
    </row>
    <row r="121" spans="1:9" ht="20.100000000000001" customHeight="1" x14ac:dyDescent="0.2">
      <c r="A121" s="23">
        <v>20</v>
      </c>
      <c r="B121" s="48" t="s">
        <v>1183</v>
      </c>
      <c r="C121" s="14">
        <f>data!X74</f>
        <v>86401409.159999996</v>
      </c>
      <c r="D121" s="14">
        <f>data!Y74</f>
        <v>34804128.030000001</v>
      </c>
      <c r="E121" s="14">
        <f>data!Z74</f>
        <v>23325791.420000002</v>
      </c>
      <c r="F121" s="14">
        <f>data!AA74</f>
        <v>9150906.3499999996</v>
      </c>
      <c r="G121" s="14">
        <f>data!AB74</f>
        <v>66472659.670000002</v>
      </c>
      <c r="H121" s="14">
        <f>data!AC74</f>
        <v>7077067.8399999999</v>
      </c>
      <c r="I121" s="14">
        <f>data!AD74</f>
        <v>131534.49</v>
      </c>
    </row>
    <row r="122" spans="1:9" ht="20.100000000000001" customHeight="1" x14ac:dyDescent="0.2">
      <c r="A122" s="23">
        <v>21</v>
      </c>
      <c r="B122" s="48" t="s">
        <v>1184</v>
      </c>
      <c r="C122" s="14">
        <f>data!X75</f>
        <v>114805089.09999999</v>
      </c>
      <c r="D122" s="14">
        <f>data!Y75</f>
        <v>44169043.609999999</v>
      </c>
      <c r="E122" s="14">
        <f>data!Z75</f>
        <v>23742799.200000003</v>
      </c>
      <c r="F122" s="14">
        <f>data!AA75</f>
        <v>10204845.219999999</v>
      </c>
      <c r="G122" s="14">
        <f>data!AB75</f>
        <v>151382872.54000002</v>
      </c>
      <c r="H122" s="14">
        <f>data!AC75</f>
        <v>27509399.510000002</v>
      </c>
      <c r="I122" s="14">
        <f>data!AD75</f>
        <v>2438483.4000000004</v>
      </c>
    </row>
    <row r="123" spans="1:9" ht="20.100000000000001" customHeight="1" x14ac:dyDescent="0.2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">
      <c r="A124" s="23">
        <v>22</v>
      </c>
      <c r="B124" s="14" t="s">
        <v>1186</v>
      </c>
      <c r="C124" s="14">
        <f>data!X76</f>
        <v>787</v>
      </c>
      <c r="D124" s="14">
        <f>data!Y76</f>
        <v>24598</v>
      </c>
      <c r="E124" s="14">
        <f>data!Z76</f>
        <v>0</v>
      </c>
      <c r="F124" s="14">
        <f>data!AA76</f>
        <v>788</v>
      </c>
      <c r="G124" s="14">
        <f>data!AB76</f>
        <v>8305</v>
      </c>
      <c r="H124" s="14">
        <f>data!AC76</f>
        <v>1185</v>
      </c>
      <c r="I124" s="14">
        <f>data!AD76</f>
        <v>0</v>
      </c>
    </row>
    <row r="125" spans="1:9" ht="20.100000000000001" customHeight="1" x14ac:dyDescent="0.2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">
      <c r="A126" s="23">
        <v>24</v>
      </c>
      <c r="B126" s="14" t="s">
        <v>1188</v>
      </c>
      <c r="C126" s="14">
        <f>data!X78</f>
        <v>338.81</v>
      </c>
      <c r="D126" s="14">
        <f>data!Y78</f>
        <v>10589.73</v>
      </c>
      <c r="E126" s="14">
        <f>data!Z78</f>
        <v>0</v>
      </c>
      <c r="F126" s="14">
        <f>data!AA78</f>
        <v>339.24</v>
      </c>
      <c r="G126" s="14">
        <f>data!AB78</f>
        <v>3575.58</v>
      </c>
      <c r="H126" s="14">
        <f>data!AC78</f>
        <v>510.15</v>
      </c>
      <c r="I126" s="14">
        <f>data!AD78</f>
        <v>0</v>
      </c>
    </row>
    <row r="127" spans="1:9" ht="20.100000000000001" customHeight="1" x14ac:dyDescent="0.2">
      <c r="A127" s="23">
        <v>25</v>
      </c>
      <c r="B127" s="14" t="s">
        <v>1189</v>
      </c>
      <c r="C127" s="14">
        <f>data!X79</f>
        <v>0</v>
      </c>
      <c r="D127" s="14">
        <f>data!Y79</f>
        <v>54472.75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1.1499999999999999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">
      <c r="A132" s="79" t="str">
        <f>"HOSPITAL NAME: "&amp;data!C84</f>
        <v>HOSPITAL NAME: St. Francis Hospital</v>
      </c>
      <c r="B132" s="77"/>
      <c r="C132" s="77"/>
      <c r="D132" s="77"/>
      <c r="E132" s="77"/>
      <c r="F132" s="77"/>
      <c r="G132" s="80"/>
      <c r="H132" s="79" t="str">
        <f>"FYE: "&amp;data!C82</f>
        <v>FYE: 06/30/2020</v>
      </c>
    </row>
    <row r="133" spans="1:9" ht="20.100000000000001" customHeight="1" x14ac:dyDescent="0.2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">
      <c r="A137" s="23">
        <v>4</v>
      </c>
      <c r="B137" s="14" t="s">
        <v>233</v>
      </c>
      <c r="C137" s="14">
        <f>data!AE59</f>
        <v>74518</v>
      </c>
      <c r="D137" s="14">
        <f>data!AF59</f>
        <v>0</v>
      </c>
      <c r="E137" s="14">
        <f>data!AG59</f>
        <v>46516</v>
      </c>
      <c r="F137" s="14">
        <f>data!AH59</f>
        <v>0</v>
      </c>
      <c r="G137" s="14">
        <f>data!AI59</f>
        <v>0</v>
      </c>
      <c r="H137" s="14">
        <f>data!AJ59</f>
        <v>284074.76</v>
      </c>
      <c r="I137" s="14">
        <f>data!AK59</f>
        <v>11189</v>
      </c>
    </row>
    <row r="138" spans="1:9" ht="20.100000000000001" customHeight="1" x14ac:dyDescent="0.2">
      <c r="A138" s="23">
        <v>5</v>
      </c>
      <c r="B138" s="14" t="s">
        <v>234</v>
      </c>
      <c r="C138" s="26">
        <f>data!AE60</f>
        <v>19.05</v>
      </c>
      <c r="D138" s="26">
        <f>data!AF60</f>
        <v>0</v>
      </c>
      <c r="E138" s="26">
        <f>data!AG60</f>
        <v>64.88</v>
      </c>
      <c r="F138" s="26">
        <f>data!AH60</f>
        <v>0</v>
      </c>
      <c r="G138" s="26">
        <f>data!AI60</f>
        <v>0</v>
      </c>
      <c r="H138" s="26">
        <f>data!AJ60</f>
        <v>390.74</v>
      </c>
      <c r="I138" s="26">
        <f>data!AK60</f>
        <v>2.91</v>
      </c>
    </row>
    <row r="139" spans="1:9" ht="20.100000000000001" customHeight="1" x14ac:dyDescent="0.2">
      <c r="A139" s="23">
        <v>6</v>
      </c>
      <c r="B139" s="14" t="s">
        <v>235</v>
      </c>
      <c r="C139" s="14">
        <f>data!AE61</f>
        <v>1860778.27</v>
      </c>
      <c r="D139" s="14">
        <f>data!AF61</f>
        <v>0</v>
      </c>
      <c r="E139" s="14">
        <f>data!AG61</f>
        <v>5973028.8799999999</v>
      </c>
      <c r="F139" s="14">
        <f>data!AH61</f>
        <v>0</v>
      </c>
      <c r="G139" s="14">
        <f>data!AI61</f>
        <v>0</v>
      </c>
      <c r="H139" s="14">
        <f>data!AJ61</f>
        <v>45491015.339999996</v>
      </c>
      <c r="I139" s="14">
        <f>data!AK61</f>
        <v>279158.75</v>
      </c>
    </row>
    <row r="140" spans="1:9" ht="20.100000000000001" customHeight="1" x14ac:dyDescent="0.2">
      <c r="A140" s="23">
        <v>7</v>
      </c>
      <c r="B140" s="14" t="s">
        <v>3</v>
      </c>
      <c r="C140" s="14">
        <f>data!AE62</f>
        <v>469792</v>
      </c>
      <c r="D140" s="14">
        <f>data!AF62</f>
        <v>0</v>
      </c>
      <c r="E140" s="14">
        <f>data!AG62</f>
        <v>1470794</v>
      </c>
      <c r="F140" s="14">
        <f>data!AH62</f>
        <v>0</v>
      </c>
      <c r="G140" s="14">
        <f>data!AI62</f>
        <v>0</v>
      </c>
      <c r="H140" s="14">
        <f>data!AJ62</f>
        <v>8349795</v>
      </c>
      <c r="I140" s="14">
        <f>data!AK62</f>
        <v>73513</v>
      </c>
    </row>
    <row r="141" spans="1:9" ht="20.100000000000001" customHeight="1" x14ac:dyDescent="0.2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1601150.54</v>
      </c>
      <c r="F141" s="14">
        <f>data!AH63</f>
        <v>0</v>
      </c>
      <c r="G141" s="14">
        <f>data!AI63</f>
        <v>0</v>
      </c>
      <c r="H141" s="14">
        <f>data!AJ63</f>
        <v>782246.78</v>
      </c>
      <c r="I141" s="14">
        <f>data!AK63</f>
        <v>0</v>
      </c>
    </row>
    <row r="142" spans="1:9" ht="20.100000000000001" customHeight="1" x14ac:dyDescent="0.2">
      <c r="A142" s="23">
        <v>9</v>
      </c>
      <c r="B142" s="14" t="s">
        <v>237</v>
      </c>
      <c r="C142" s="14">
        <f>data!AE64</f>
        <v>17289.77</v>
      </c>
      <c r="D142" s="14">
        <f>data!AF64</f>
        <v>0</v>
      </c>
      <c r="E142" s="14">
        <f>data!AG64</f>
        <v>1352715.01</v>
      </c>
      <c r="F142" s="14">
        <f>data!AH64</f>
        <v>0</v>
      </c>
      <c r="G142" s="14">
        <f>data!AI64</f>
        <v>0</v>
      </c>
      <c r="H142" s="14">
        <f>data!AJ64</f>
        <v>3067269.14</v>
      </c>
      <c r="I142" s="14">
        <f>data!AK64</f>
        <v>2038.58</v>
      </c>
    </row>
    <row r="143" spans="1:9" ht="20.100000000000001" customHeight="1" x14ac:dyDescent="0.2">
      <c r="A143" s="23">
        <v>10</v>
      </c>
      <c r="B143" s="14" t="s">
        <v>444</v>
      </c>
      <c r="C143" s="14">
        <f>data!AE65</f>
        <v>4527.4799999999996</v>
      </c>
      <c r="D143" s="14">
        <f>data!AF65</f>
        <v>0</v>
      </c>
      <c r="E143" s="14">
        <f>data!AG65</f>
        <v>846.49</v>
      </c>
      <c r="F143" s="14">
        <f>data!AH65</f>
        <v>0</v>
      </c>
      <c r="G143" s="14">
        <f>data!AI65</f>
        <v>0</v>
      </c>
      <c r="H143" s="14">
        <f>data!AJ65</f>
        <v>175011.13</v>
      </c>
      <c r="I143" s="14">
        <f>data!AK65</f>
        <v>293.31</v>
      </c>
    </row>
    <row r="144" spans="1:9" ht="20.100000000000001" customHeight="1" x14ac:dyDescent="0.2">
      <c r="A144" s="23">
        <v>11</v>
      </c>
      <c r="B144" s="14" t="s">
        <v>445</v>
      </c>
      <c r="C144" s="14">
        <f>data!AE66</f>
        <v>374922.35</v>
      </c>
      <c r="D144" s="14">
        <f>data!AF66</f>
        <v>0</v>
      </c>
      <c r="E144" s="14">
        <f>data!AG66</f>
        <v>1690266.07</v>
      </c>
      <c r="F144" s="14">
        <f>data!AH66</f>
        <v>0</v>
      </c>
      <c r="G144" s="14">
        <f>data!AI66</f>
        <v>0</v>
      </c>
      <c r="H144" s="14">
        <f>data!AJ66</f>
        <v>4999790.68</v>
      </c>
      <c r="I144" s="14">
        <f>data!AK66</f>
        <v>2280.5</v>
      </c>
    </row>
    <row r="145" spans="1:9" ht="20.100000000000001" customHeight="1" x14ac:dyDescent="0.2">
      <c r="A145" s="23">
        <v>12</v>
      </c>
      <c r="B145" s="14" t="s">
        <v>6</v>
      </c>
      <c r="C145" s="14">
        <f>data!AE67</f>
        <v>215897</v>
      </c>
      <c r="D145" s="14">
        <f>data!AF67</f>
        <v>0</v>
      </c>
      <c r="E145" s="14">
        <f>data!AG67</f>
        <v>224857</v>
      </c>
      <c r="F145" s="14">
        <f>data!AH67</f>
        <v>0</v>
      </c>
      <c r="G145" s="14">
        <f>data!AI67</f>
        <v>0</v>
      </c>
      <c r="H145" s="14">
        <f>data!AJ67</f>
        <v>2058736</v>
      </c>
      <c r="I145" s="14">
        <f>data!AK67</f>
        <v>51833</v>
      </c>
    </row>
    <row r="146" spans="1:9" ht="20.100000000000001" customHeight="1" x14ac:dyDescent="0.2">
      <c r="A146" s="23">
        <v>13</v>
      </c>
      <c r="B146" s="14" t="s">
        <v>474</v>
      </c>
      <c r="C146" s="14">
        <f>data!AE68</f>
        <v>150853.09</v>
      </c>
      <c r="D146" s="14">
        <f>data!AF68</f>
        <v>0</v>
      </c>
      <c r="E146" s="14">
        <f>data!AG68</f>
        <v>22214.15</v>
      </c>
      <c r="F146" s="14">
        <f>data!AH68</f>
        <v>0</v>
      </c>
      <c r="G146" s="14">
        <f>data!AI68</f>
        <v>0</v>
      </c>
      <c r="H146" s="14">
        <f>data!AJ68</f>
        <v>4788445.28</v>
      </c>
      <c r="I146" s="14">
        <f>data!AK68</f>
        <v>0</v>
      </c>
    </row>
    <row r="147" spans="1:9" ht="20.100000000000001" customHeight="1" x14ac:dyDescent="0.2">
      <c r="A147" s="23">
        <v>14</v>
      </c>
      <c r="B147" s="14" t="s">
        <v>241</v>
      </c>
      <c r="C147" s="14">
        <f>data!AE69</f>
        <v>6159.67</v>
      </c>
      <c r="D147" s="14">
        <f>data!AF69</f>
        <v>0</v>
      </c>
      <c r="E147" s="14">
        <f>data!AG69</f>
        <v>100282.56</v>
      </c>
      <c r="F147" s="14">
        <f>data!AH69</f>
        <v>0</v>
      </c>
      <c r="G147" s="14">
        <f>data!AI69</f>
        <v>0</v>
      </c>
      <c r="H147" s="14">
        <f>data!AJ69</f>
        <v>2057395.48</v>
      </c>
      <c r="I147" s="14">
        <f>data!AK69</f>
        <v>175</v>
      </c>
    </row>
    <row r="148" spans="1:9" ht="20.100000000000001" customHeight="1" x14ac:dyDescent="0.2">
      <c r="A148" s="23">
        <v>15</v>
      </c>
      <c r="B148" s="14" t="s">
        <v>242</v>
      </c>
      <c r="C148" s="14">
        <f>-data!AE70</f>
        <v>-1360</v>
      </c>
      <c r="D148" s="14">
        <f>-data!AF70</f>
        <v>0</v>
      </c>
      <c r="E148" s="14">
        <f>-data!AG70</f>
        <v>-3000</v>
      </c>
      <c r="F148" s="14">
        <f>-data!AH70</f>
        <v>0</v>
      </c>
      <c r="G148" s="14">
        <f>-data!AI70</f>
        <v>0</v>
      </c>
      <c r="H148" s="14">
        <f>-data!AJ70</f>
        <v>-2660571.66</v>
      </c>
      <c r="I148" s="14">
        <f>-data!AK70</f>
        <v>0</v>
      </c>
    </row>
    <row r="149" spans="1:9" ht="20.100000000000001" customHeight="1" x14ac:dyDescent="0.2">
      <c r="A149" s="23">
        <v>16</v>
      </c>
      <c r="B149" s="48" t="s">
        <v>1180</v>
      </c>
      <c r="C149" s="14">
        <f>data!AE71</f>
        <v>3098859.63</v>
      </c>
      <c r="D149" s="14">
        <f>data!AF71</f>
        <v>0</v>
      </c>
      <c r="E149" s="14">
        <f>data!AG71</f>
        <v>12433154.700000001</v>
      </c>
      <c r="F149" s="14">
        <f>data!AH71</f>
        <v>0</v>
      </c>
      <c r="G149" s="14">
        <f>data!AI71</f>
        <v>0</v>
      </c>
      <c r="H149" s="14">
        <f>data!AJ71</f>
        <v>69109133.170000002</v>
      </c>
      <c r="I149" s="14">
        <f>data!AK71</f>
        <v>409292.14</v>
      </c>
    </row>
    <row r="150" spans="1:9" ht="20.100000000000001" customHeight="1" x14ac:dyDescent="0.2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">
      <c r="A151" s="23">
        <v>18</v>
      </c>
      <c r="B151" s="14" t="s">
        <v>1181</v>
      </c>
      <c r="C151" s="48">
        <f>+data!M696</f>
        <v>1649807</v>
      </c>
      <c r="D151" s="48">
        <f>+data!M697</f>
        <v>0</v>
      </c>
      <c r="E151" s="48">
        <f>+data!M698</f>
        <v>5844344</v>
      </c>
      <c r="F151" s="48">
        <f>+data!M699</f>
        <v>0</v>
      </c>
      <c r="G151" s="48">
        <f>+data!M700</f>
        <v>0</v>
      </c>
      <c r="H151" s="48">
        <f>+data!M701</f>
        <v>13700066</v>
      </c>
      <c r="I151" s="48">
        <f>+data!M702</f>
        <v>427822</v>
      </c>
    </row>
    <row r="152" spans="1:9" ht="20.100000000000001" customHeight="1" x14ac:dyDescent="0.2">
      <c r="A152" s="23">
        <v>19</v>
      </c>
      <c r="B152" s="48" t="s">
        <v>1182</v>
      </c>
      <c r="C152" s="14">
        <f>data!AE73</f>
        <v>2595175.29</v>
      </c>
      <c r="D152" s="14">
        <f>data!AF73</f>
        <v>0</v>
      </c>
      <c r="E152" s="14">
        <f>data!AG73</f>
        <v>29535364.09</v>
      </c>
      <c r="F152" s="14">
        <f>data!AH73</f>
        <v>0</v>
      </c>
      <c r="G152" s="14">
        <f>data!AI73</f>
        <v>0</v>
      </c>
      <c r="H152" s="14">
        <f>data!AJ73</f>
        <v>211584.73</v>
      </c>
      <c r="I152" s="14">
        <f>data!AK73</f>
        <v>1020152.63</v>
      </c>
    </row>
    <row r="153" spans="1:9" ht="20.100000000000001" customHeight="1" x14ac:dyDescent="0.2">
      <c r="A153" s="23">
        <v>20</v>
      </c>
      <c r="B153" s="48" t="s">
        <v>1183</v>
      </c>
      <c r="C153" s="14">
        <f>data!AE74</f>
        <v>10896539.720000001</v>
      </c>
      <c r="D153" s="14">
        <f>data!AF74</f>
        <v>0</v>
      </c>
      <c r="E153" s="14">
        <f>data!AG74</f>
        <v>135529895.06999999</v>
      </c>
      <c r="F153" s="14">
        <f>data!AH74</f>
        <v>0</v>
      </c>
      <c r="G153" s="14">
        <f>data!AI74</f>
        <v>0</v>
      </c>
      <c r="H153" s="14">
        <f>data!AJ74</f>
        <v>115584474.18000001</v>
      </c>
      <c r="I153" s="14">
        <f>data!AK74</f>
        <v>1564771.59</v>
      </c>
    </row>
    <row r="154" spans="1:9" ht="20.100000000000001" customHeight="1" x14ac:dyDescent="0.2">
      <c r="A154" s="23">
        <v>21</v>
      </c>
      <c r="B154" s="48" t="s">
        <v>1184</v>
      </c>
      <c r="C154" s="14">
        <f>data!AE75</f>
        <v>13491715.010000002</v>
      </c>
      <c r="D154" s="14">
        <f>data!AF75</f>
        <v>0</v>
      </c>
      <c r="E154" s="14">
        <f>data!AG75</f>
        <v>165065259.16</v>
      </c>
      <c r="F154" s="14">
        <f>data!AH75</f>
        <v>0</v>
      </c>
      <c r="G154" s="14">
        <f>data!AI75</f>
        <v>0</v>
      </c>
      <c r="H154" s="14">
        <f>data!AJ75</f>
        <v>115796058.91000001</v>
      </c>
      <c r="I154" s="14">
        <f>data!AK75</f>
        <v>2584924.2200000002</v>
      </c>
    </row>
    <row r="155" spans="1:9" ht="20.100000000000001" customHeight="1" x14ac:dyDescent="0.2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">
      <c r="A156" s="23">
        <v>22</v>
      </c>
      <c r="B156" s="14" t="s">
        <v>1186</v>
      </c>
      <c r="C156" s="14">
        <f>data!AE76</f>
        <v>9857.14</v>
      </c>
      <c r="D156" s="14">
        <f>data!AF76</f>
        <v>0</v>
      </c>
      <c r="E156" s="14">
        <f>data!AG76</f>
        <v>10167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3298</v>
      </c>
    </row>
    <row r="157" spans="1:9" ht="20.100000000000001" customHeight="1" x14ac:dyDescent="0.2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6475</v>
      </c>
      <c r="F157" s="14">
        <f>data!AH77</f>
        <v>0</v>
      </c>
      <c r="G157" s="14">
        <f>data!AI77</f>
        <v>0</v>
      </c>
      <c r="H157" s="14">
        <f>data!AJ77</f>
        <v>21</v>
      </c>
      <c r="I157" s="14">
        <f>data!AK77</f>
        <v>0</v>
      </c>
    </row>
    <row r="158" spans="1:9" ht="20.100000000000001" customHeight="1" x14ac:dyDescent="0.2">
      <c r="A158" s="23">
        <v>24</v>
      </c>
      <c r="B158" s="14" t="s">
        <v>1188</v>
      </c>
      <c r="C158" s="14">
        <f>data!AE78</f>
        <v>4243.59</v>
      </c>
      <c r="D158" s="14">
        <f>data!AF78</f>
        <v>0</v>
      </c>
      <c r="E158" s="14">
        <f>data!AG78</f>
        <v>4376.9799999999996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1419.82</v>
      </c>
    </row>
    <row r="159" spans="1:9" ht="20.100000000000001" customHeight="1" x14ac:dyDescent="0.2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277165.27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11876.04</v>
      </c>
    </row>
    <row r="160" spans="1:9" ht="20.100000000000001" customHeight="1" x14ac:dyDescent="0.2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34.729999999999997</v>
      </c>
      <c r="F160" s="26">
        <f>data!AH80</f>
        <v>0</v>
      </c>
      <c r="G160" s="26">
        <f>data!AI80</f>
        <v>0</v>
      </c>
      <c r="H160" s="26">
        <f>data!AJ80</f>
        <v>45.04</v>
      </c>
      <c r="I160" s="26">
        <f>data!AK80</f>
        <v>0</v>
      </c>
    </row>
    <row r="161" spans="1:9" ht="20.100000000000001" customHeight="1" x14ac:dyDescent="0.2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">
      <c r="A164" s="79" t="str">
        <f>"HOSPITAL NAME: "&amp;data!C84</f>
        <v>HOSPITAL NAME: St. Francis Hospital</v>
      </c>
      <c r="B164" s="77"/>
      <c r="C164" s="77"/>
      <c r="D164" s="77"/>
      <c r="E164" s="77"/>
      <c r="F164" s="77"/>
      <c r="G164" s="80"/>
      <c r="H164" s="79" t="str">
        <f>"FYE: "&amp;data!C82</f>
        <v>FYE: 06/30/2020</v>
      </c>
    </row>
    <row r="165" spans="1:9" ht="20.100000000000001" customHeight="1" x14ac:dyDescent="0.2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">
      <c r="A169" s="23">
        <v>4</v>
      </c>
      <c r="B169" s="14" t="s">
        <v>233</v>
      </c>
      <c r="C169" s="14">
        <f>data!AL59</f>
        <v>2188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">
      <c r="A170" s="23">
        <v>5</v>
      </c>
      <c r="B170" s="14" t="s">
        <v>234</v>
      </c>
      <c r="C170" s="26">
        <f>data!AL60</f>
        <v>1.22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">
      <c r="A171" s="23">
        <v>6</v>
      </c>
      <c r="B171" s="14" t="s">
        <v>235</v>
      </c>
      <c r="C171" s="14">
        <f>data!AL61</f>
        <v>111256.1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">
      <c r="A172" s="23">
        <v>7</v>
      </c>
      <c r="B172" s="14" t="s">
        <v>3</v>
      </c>
      <c r="C172" s="14">
        <f>data!AL62</f>
        <v>29538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">
      <c r="A174" s="23">
        <v>9</v>
      </c>
      <c r="B174" s="14" t="s">
        <v>237</v>
      </c>
      <c r="C174" s="14">
        <f>data!AL64</f>
        <v>41.22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">
      <c r="A175" s="23">
        <v>10</v>
      </c>
      <c r="B175" s="14" t="s">
        <v>444</v>
      </c>
      <c r="C175" s="14">
        <f>data!AL65</f>
        <v>81.53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">
      <c r="A176" s="23">
        <v>11</v>
      </c>
      <c r="B176" s="14" t="s">
        <v>445</v>
      </c>
      <c r="C176" s="14">
        <f>data!AL66</f>
        <v>944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60232.07</v>
      </c>
    </row>
    <row r="177" spans="1:9" ht="20.100000000000001" customHeight="1" x14ac:dyDescent="0.2">
      <c r="A177" s="23">
        <v>12</v>
      </c>
      <c r="B177" s="14" t="s">
        <v>6</v>
      </c>
      <c r="C177" s="14">
        <f>data!AL67</f>
        <v>10844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">
      <c r="A181" s="23">
        <v>16</v>
      </c>
      <c r="B181" s="48" t="s">
        <v>1180</v>
      </c>
      <c r="C181" s="14">
        <f>data!AL71</f>
        <v>152704.85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60232.07</v>
      </c>
    </row>
    <row r="182" spans="1:9" ht="20.100000000000001" customHeight="1" x14ac:dyDescent="0.2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">
      <c r="A183" s="23">
        <v>18</v>
      </c>
      <c r="B183" s="14" t="s">
        <v>1181</v>
      </c>
      <c r="C183" s="48">
        <f>+data!M703</f>
        <v>106107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9777</v>
      </c>
    </row>
    <row r="184" spans="1:9" ht="20.100000000000001" customHeight="1" x14ac:dyDescent="0.2">
      <c r="A184" s="23">
        <v>19</v>
      </c>
      <c r="B184" s="48" t="s">
        <v>1182</v>
      </c>
      <c r="C184" s="14">
        <f>data!AL73</f>
        <v>670974.34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">
      <c r="A185" s="23">
        <v>20</v>
      </c>
      <c r="B185" s="48" t="s">
        <v>1183</v>
      </c>
      <c r="C185" s="14">
        <f>data!AL74</f>
        <v>375450.39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">
      <c r="A186" s="23">
        <v>21</v>
      </c>
      <c r="B186" s="48" t="s">
        <v>1184</v>
      </c>
      <c r="C186" s="14">
        <f>data!AL75</f>
        <v>1046424.73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">
      <c r="A188" s="23">
        <v>22</v>
      </c>
      <c r="B188" s="14" t="s">
        <v>1186</v>
      </c>
      <c r="C188" s="14">
        <f>data!AL76</f>
        <v>690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">
      <c r="A190" s="23">
        <v>24</v>
      </c>
      <c r="B190" s="14" t="s">
        <v>1188</v>
      </c>
      <c r="C190" s="14">
        <f>data!AL78</f>
        <v>297.05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">
      <c r="A196" s="79" t="str">
        <f>"HOSPITAL NAME: "&amp;data!C84</f>
        <v>HOSPITAL NAME: St. Francis Hospital</v>
      </c>
      <c r="B196" s="77"/>
      <c r="C196" s="77"/>
      <c r="D196" s="77"/>
      <c r="E196" s="77"/>
      <c r="F196" s="77"/>
      <c r="G196" s="80"/>
      <c r="H196" s="79" t="str">
        <f>"FYE: "&amp;data!C82</f>
        <v>FYE: 06/30/2020</v>
      </c>
    </row>
    <row r="197" spans="1:9" ht="20.100000000000001" customHeight="1" x14ac:dyDescent="0.2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112544</v>
      </c>
    </row>
    <row r="202" spans="1:9" ht="20.100000000000001" customHeight="1" x14ac:dyDescent="0.2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19.95</v>
      </c>
      <c r="G202" s="26">
        <f>data!AW60</f>
        <v>0</v>
      </c>
      <c r="H202" s="26">
        <f>data!AX60</f>
        <v>0</v>
      </c>
      <c r="I202" s="26">
        <f>data!AY60</f>
        <v>38.340000000000003</v>
      </c>
    </row>
    <row r="203" spans="1:9" ht="20.100000000000001" customHeight="1" x14ac:dyDescent="0.2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1642964.19</v>
      </c>
      <c r="G203" s="14">
        <f>data!AW61</f>
        <v>0</v>
      </c>
      <c r="H203" s="14">
        <f>data!AX61</f>
        <v>0</v>
      </c>
      <c r="I203" s="14">
        <f>data!AY61</f>
        <v>1762923.46</v>
      </c>
    </row>
    <row r="204" spans="1:9" ht="20.100000000000001" customHeight="1" x14ac:dyDescent="0.2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453637</v>
      </c>
      <c r="G204" s="14">
        <f>data!AW62</f>
        <v>0</v>
      </c>
      <c r="H204" s="14">
        <f>data!AX62</f>
        <v>0</v>
      </c>
      <c r="I204" s="14">
        <f>data!AY62</f>
        <v>703333</v>
      </c>
    </row>
    <row r="205" spans="1:9" ht="20.100000000000001" customHeight="1" x14ac:dyDescent="0.2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42520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331586.18</v>
      </c>
      <c r="G206" s="14">
        <f>data!AW64</f>
        <v>0</v>
      </c>
      <c r="H206" s="14">
        <f>data!AX64</f>
        <v>0</v>
      </c>
      <c r="I206" s="14">
        <f>data!AY64</f>
        <v>1051893.24</v>
      </c>
    </row>
    <row r="207" spans="1:9" ht="20.100000000000001" customHeight="1" x14ac:dyDescent="0.2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1287.08</v>
      </c>
      <c r="G207" s="14">
        <f>data!AW65</f>
        <v>0</v>
      </c>
      <c r="H207" s="14">
        <f>data!AX65</f>
        <v>0</v>
      </c>
      <c r="I207" s="14">
        <f>data!AY65</f>
        <v>1640.34</v>
      </c>
    </row>
    <row r="208" spans="1:9" ht="20.100000000000001" customHeight="1" x14ac:dyDescent="0.2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76038.84</v>
      </c>
      <c r="G208" s="14">
        <f>data!AW66</f>
        <v>0</v>
      </c>
      <c r="H208" s="14">
        <f>data!AX66</f>
        <v>0</v>
      </c>
      <c r="I208" s="14">
        <f>data!AY66</f>
        <v>671713.34</v>
      </c>
    </row>
    <row r="209" spans="1:9" ht="20.100000000000001" customHeight="1" x14ac:dyDescent="0.2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12620</v>
      </c>
      <c r="G209" s="14">
        <f>data!AW67</f>
        <v>0</v>
      </c>
      <c r="H209" s="14">
        <f>data!AX67</f>
        <v>0</v>
      </c>
      <c r="I209" s="14">
        <f>data!AY67</f>
        <v>44012</v>
      </c>
    </row>
    <row r="210" spans="1:9" ht="20.100000000000001" customHeight="1" x14ac:dyDescent="0.2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61551.72</v>
      </c>
      <c r="G210" s="14">
        <f>data!AW68</f>
        <v>0</v>
      </c>
      <c r="H210" s="14">
        <f>data!AX68</f>
        <v>0</v>
      </c>
      <c r="I210" s="14">
        <f>data!AY68</f>
        <v>31859.29</v>
      </c>
    </row>
    <row r="211" spans="1:9" ht="20.100000000000001" customHeight="1" x14ac:dyDescent="0.2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-1631375.82</v>
      </c>
      <c r="G211" s="14">
        <f>data!AW69</f>
        <v>0</v>
      </c>
      <c r="H211" s="14">
        <f>data!AX69</f>
        <v>0</v>
      </c>
      <c r="I211" s="14">
        <f>data!AY69</f>
        <v>21052.43</v>
      </c>
    </row>
    <row r="212" spans="1:9" ht="20.100000000000001" customHeight="1" x14ac:dyDescent="0.2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-2975</v>
      </c>
      <c r="G212" s="14">
        <f>-data!AW70</f>
        <v>0</v>
      </c>
      <c r="H212" s="14">
        <f>-data!AX70</f>
        <v>0</v>
      </c>
      <c r="I212" s="14">
        <f>-data!AY70</f>
        <v>-1118571.22</v>
      </c>
    </row>
    <row r="213" spans="1:9" ht="20.100000000000001" customHeight="1" x14ac:dyDescent="0.2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987854.19000000018</v>
      </c>
      <c r="G213" s="14">
        <f>data!AW71</f>
        <v>0</v>
      </c>
      <c r="H213" s="14">
        <f>data!AX71</f>
        <v>0</v>
      </c>
      <c r="I213" s="14">
        <f>data!AY71</f>
        <v>3169855.88</v>
      </c>
    </row>
    <row r="214" spans="1:9" ht="20.100000000000001" customHeight="1" x14ac:dyDescent="0.2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939988</v>
      </c>
      <c r="G215" s="22"/>
      <c r="H215" s="14"/>
      <c r="I215" s="14"/>
    </row>
    <row r="216" spans="1:9" ht="20.100000000000001" customHeight="1" x14ac:dyDescent="0.2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169698.84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3017.15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172715.99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803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17134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7543.38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8.14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">
      <c r="A228" s="79" t="str">
        <f>"HOSPITAL NAME: "&amp;data!C84</f>
        <v>HOSPITAL NAME: St. Francis Hospital</v>
      </c>
      <c r="B228" s="77"/>
      <c r="C228" s="77"/>
      <c r="D228" s="77"/>
      <c r="E228" s="77"/>
      <c r="F228" s="77"/>
      <c r="G228" s="80"/>
      <c r="H228" s="79" t="str">
        <f>"FYE: "&amp;data!C82</f>
        <v>FYE: 06/30/2020</v>
      </c>
    </row>
    <row r="229" spans="1:9" ht="20.100000000000001" customHeight="1" x14ac:dyDescent="0.2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">
      <c r="A233" s="23">
        <v>4</v>
      </c>
      <c r="B233" s="14" t="s">
        <v>233</v>
      </c>
      <c r="C233" s="14">
        <f>data!AZ59</f>
        <v>175864</v>
      </c>
      <c r="D233" s="14">
        <f>data!BA59</f>
        <v>0</v>
      </c>
      <c r="E233" s="212"/>
      <c r="F233" s="212"/>
      <c r="G233" s="212"/>
      <c r="H233" s="14">
        <f>data!BE59</f>
        <v>259285</v>
      </c>
      <c r="I233" s="212"/>
    </row>
    <row r="234" spans="1:9" ht="20.100000000000001" customHeight="1" x14ac:dyDescent="0.2">
      <c r="A234" s="23">
        <v>5</v>
      </c>
      <c r="B234" s="14" t="s">
        <v>234</v>
      </c>
      <c r="C234" s="26">
        <f>data!AZ60</f>
        <v>0</v>
      </c>
      <c r="D234" s="26">
        <f>data!BA60</f>
        <v>1.02</v>
      </c>
      <c r="E234" s="26">
        <f>data!BB60</f>
        <v>0</v>
      </c>
      <c r="F234" s="26">
        <f>data!BC60</f>
        <v>6.7</v>
      </c>
      <c r="G234" s="26">
        <f>data!BD60</f>
        <v>0</v>
      </c>
      <c r="H234" s="26">
        <f>data!BE60</f>
        <v>6.71</v>
      </c>
      <c r="I234" s="26">
        <f>data!BF60</f>
        <v>34.33</v>
      </c>
    </row>
    <row r="235" spans="1:9" ht="20.100000000000001" customHeight="1" x14ac:dyDescent="0.2">
      <c r="A235" s="23">
        <v>6</v>
      </c>
      <c r="B235" s="14" t="s">
        <v>235</v>
      </c>
      <c r="C235" s="14">
        <f>data!AZ61</f>
        <v>0</v>
      </c>
      <c r="D235" s="14">
        <f>data!BA61</f>
        <v>44808.78</v>
      </c>
      <c r="E235" s="14">
        <f>data!BB61</f>
        <v>0</v>
      </c>
      <c r="F235" s="14">
        <f>data!BC61</f>
        <v>328064.21000000002</v>
      </c>
      <c r="G235" s="14">
        <f>data!BD61</f>
        <v>0</v>
      </c>
      <c r="H235" s="14">
        <f>data!BE61</f>
        <v>442967.07</v>
      </c>
      <c r="I235" s="14">
        <f>data!BF61</f>
        <v>1701737.65</v>
      </c>
    </row>
    <row r="236" spans="1:9" ht="20.100000000000001" customHeight="1" x14ac:dyDescent="0.2">
      <c r="A236" s="23">
        <v>7</v>
      </c>
      <c r="B236" s="14" t="s">
        <v>3</v>
      </c>
      <c r="C236" s="14">
        <f>data!AZ62</f>
        <v>0</v>
      </c>
      <c r="D236" s="14">
        <f>data!BA62</f>
        <v>18725</v>
      </c>
      <c r="E236" s="14">
        <f>data!BB62</f>
        <v>0</v>
      </c>
      <c r="F236" s="14">
        <f>data!BC62</f>
        <v>125422</v>
      </c>
      <c r="G236" s="14">
        <f>data!BD62</f>
        <v>0</v>
      </c>
      <c r="H236" s="14">
        <f>data!BE62</f>
        <v>139567</v>
      </c>
      <c r="I236" s="14">
        <f>data!BF62</f>
        <v>626151</v>
      </c>
    </row>
    <row r="237" spans="1:9" ht="20.100000000000001" customHeight="1" x14ac:dyDescent="0.2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218.31</v>
      </c>
      <c r="G238" s="14">
        <f>data!BD64</f>
        <v>5706</v>
      </c>
      <c r="H238" s="14">
        <f>data!BE64</f>
        <v>51686.16</v>
      </c>
      <c r="I238" s="14">
        <f>data!BF64</f>
        <v>224756.73</v>
      </c>
    </row>
    <row r="239" spans="1:9" ht="20.100000000000001" customHeight="1" x14ac:dyDescent="0.2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879.93</v>
      </c>
      <c r="G239" s="14">
        <f>data!BD65</f>
        <v>0</v>
      </c>
      <c r="H239" s="14">
        <f>data!BE65</f>
        <v>1205401.8799999999</v>
      </c>
      <c r="I239" s="14">
        <f>data!BF65</f>
        <v>383.96</v>
      </c>
    </row>
    <row r="240" spans="1:9" ht="20.100000000000001" customHeight="1" x14ac:dyDescent="0.2">
      <c r="A240" s="23">
        <v>11</v>
      </c>
      <c r="B240" s="14" t="s">
        <v>445</v>
      </c>
      <c r="C240" s="14">
        <f>data!AZ66</f>
        <v>0</v>
      </c>
      <c r="D240" s="14">
        <f>data!BA66</f>
        <v>-1000.02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4181133.99</v>
      </c>
      <c r="I240" s="14">
        <f>data!BF66</f>
        <v>275773.84000000003</v>
      </c>
    </row>
    <row r="241" spans="1:9" ht="20.100000000000001" customHeight="1" x14ac:dyDescent="0.2">
      <c r="A241" s="23">
        <v>12</v>
      </c>
      <c r="B241" s="14" t="s">
        <v>6</v>
      </c>
      <c r="C241" s="14">
        <f>data!AZ67</f>
        <v>89710</v>
      </c>
      <c r="D241" s="14">
        <f>data!BA67</f>
        <v>33932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1167229</v>
      </c>
      <c r="I241" s="14">
        <f>data!BF67</f>
        <v>10316</v>
      </c>
    </row>
    <row r="242" spans="1:9" ht="20.100000000000001" customHeight="1" x14ac:dyDescent="0.2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359767.71</v>
      </c>
      <c r="H242" s="14">
        <f>data!BE68</f>
        <v>9961.83</v>
      </c>
      <c r="I242" s="14">
        <f>data!BF68</f>
        <v>1026.77</v>
      </c>
    </row>
    <row r="243" spans="1:9" ht="20.100000000000001" customHeight="1" x14ac:dyDescent="0.2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779.65</v>
      </c>
      <c r="G243" s="14">
        <f>data!BD69</f>
        <v>0</v>
      </c>
      <c r="H243" s="14">
        <f>data!BE69</f>
        <v>20354.45</v>
      </c>
      <c r="I243" s="14">
        <f>data!BF69</f>
        <v>1583.04</v>
      </c>
    </row>
    <row r="244" spans="1:9" ht="20.100000000000001" customHeight="1" x14ac:dyDescent="0.2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-26022.81</v>
      </c>
      <c r="I244" s="14">
        <f>-data!BF70</f>
        <v>0</v>
      </c>
    </row>
    <row r="245" spans="1:9" ht="20.100000000000001" customHeight="1" x14ac:dyDescent="0.2">
      <c r="A245" s="23">
        <v>16</v>
      </c>
      <c r="B245" s="48" t="s">
        <v>1180</v>
      </c>
      <c r="C245" s="14">
        <f>data!AZ71</f>
        <v>89710</v>
      </c>
      <c r="D245" s="14">
        <f>data!BA71</f>
        <v>96465.760000000009</v>
      </c>
      <c r="E245" s="14">
        <f>data!BB71</f>
        <v>0</v>
      </c>
      <c r="F245" s="14">
        <f>data!BC71</f>
        <v>455364.10000000003</v>
      </c>
      <c r="G245" s="14">
        <f>data!BD71</f>
        <v>365473.71</v>
      </c>
      <c r="H245" s="14">
        <f>data!BE71</f>
        <v>7192278.5700000003</v>
      </c>
      <c r="I245" s="14">
        <f>data!BF71</f>
        <v>2841728.9899999998</v>
      </c>
    </row>
    <row r="246" spans="1:9" ht="20.100000000000001" customHeight="1" x14ac:dyDescent="0.2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">
      <c r="A252" s="23">
        <v>22</v>
      </c>
      <c r="B252" s="14" t="s">
        <v>1186</v>
      </c>
      <c r="C252" s="85">
        <f>data!AZ76</f>
        <v>5708</v>
      </c>
      <c r="D252" s="85">
        <f>data!BA76</f>
        <v>2159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60387</v>
      </c>
      <c r="I252" s="85">
        <f>data!BF76</f>
        <v>625</v>
      </c>
    </row>
    <row r="253" spans="1:9" ht="20.100000000000001" customHeight="1" x14ac:dyDescent="0.2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929.47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">
      <c r="A260" s="79" t="str">
        <f>"HOSPITAL NAME: "&amp;data!C84</f>
        <v>HOSPITAL NAME: St. Francis Hospital</v>
      </c>
      <c r="B260" s="77"/>
      <c r="C260" s="77"/>
      <c r="D260" s="77"/>
      <c r="E260" s="77"/>
      <c r="F260" s="77"/>
      <c r="G260" s="80"/>
      <c r="H260" s="79" t="str">
        <f>"FYE: "&amp;data!C82</f>
        <v>FYE: 06/30/2020</v>
      </c>
    </row>
    <row r="261" spans="1:9" ht="20.100000000000001" customHeight="1" x14ac:dyDescent="0.2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1.84</v>
      </c>
      <c r="I266" s="26">
        <f>data!BM60</f>
        <v>0</v>
      </c>
    </row>
    <row r="267" spans="1:9" ht="20.100000000000001" customHeight="1" x14ac:dyDescent="0.2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78912</v>
      </c>
      <c r="I267" s="14">
        <f>data!BM61</f>
        <v>0</v>
      </c>
    </row>
    <row r="268" spans="1:9" ht="20.100000000000001" customHeight="1" x14ac:dyDescent="0.2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27183</v>
      </c>
      <c r="I268" s="14">
        <f>data!BM62</f>
        <v>0</v>
      </c>
    </row>
    <row r="269" spans="1:9" ht="20.100000000000001" customHeight="1" x14ac:dyDescent="0.2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49784.69</v>
      </c>
      <c r="F270" s="14">
        <f>data!BJ64</f>
        <v>0</v>
      </c>
      <c r="G270" s="14">
        <f>data!BK64</f>
        <v>0</v>
      </c>
      <c r="H270" s="14">
        <f>data!BL64</f>
        <v>33533.360000000001</v>
      </c>
      <c r="I270" s="14">
        <f>data!BM64</f>
        <v>0</v>
      </c>
    </row>
    <row r="271" spans="1:9" ht="20.100000000000001" customHeight="1" x14ac:dyDescent="0.2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293.31</v>
      </c>
      <c r="I271" s="14">
        <f>data!BM65</f>
        <v>0</v>
      </c>
    </row>
    <row r="272" spans="1:9" ht="20.100000000000001" customHeight="1" x14ac:dyDescent="0.2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655.69</v>
      </c>
      <c r="F272" s="14">
        <f>data!BJ66</f>
        <v>0</v>
      </c>
      <c r="G272" s="14">
        <f>data!BK66</f>
        <v>15045.31</v>
      </c>
      <c r="H272" s="14">
        <f>data!BL66</f>
        <v>8746619.5099999998</v>
      </c>
      <c r="I272" s="14">
        <f>data!BM66</f>
        <v>0</v>
      </c>
    </row>
    <row r="273" spans="1:9" ht="20.100000000000001" customHeight="1" x14ac:dyDescent="0.2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7607</v>
      </c>
      <c r="F273" s="14">
        <f>data!BJ67</f>
        <v>0</v>
      </c>
      <c r="G273" s="14">
        <f>data!BK67</f>
        <v>0</v>
      </c>
      <c r="H273" s="14">
        <f>data!BL67</f>
        <v>983</v>
      </c>
      <c r="I273" s="14">
        <f>data!BM67</f>
        <v>0</v>
      </c>
    </row>
    <row r="274" spans="1:9" ht="20.100000000000001" customHeight="1" x14ac:dyDescent="0.2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7505.4</v>
      </c>
      <c r="I274" s="14">
        <f>data!BM68</f>
        <v>0</v>
      </c>
    </row>
    <row r="275" spans="1:9" ht="20.100000000000001" customHeight="1" x14ac:dyDescent="0.2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762.32</v>
      </c>
      <c r="F275" s="14">
        <f>data!BJ69</f>
        <v>0</v>
      </c>
      <c r="G275" s="14">
        <f>data!BK69</f>
        <v>0</v>
      </c>
      <c r="H275" s="14">
        <f>data!BL69</f>
        <v>944.59</v>
      </c>
      <c r="I275" s="14">
        <f>data!BM69</f>
        <v>0</v>
      </c>
    </row>
    <row r="276" spans="1:9" ht="20.100000000000001" customHeight="1" x14ac:dyDescent="0.2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-71324.81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-12515.109999999993</v>
      </c>
      <c r="F277" s="14">
        <f>data!BJ71</f>
        <v>0</v>
      </c>
      <c r="G277" s="14">
        <f>data!BK71</f>
        <v>15045.31</v>
      </c>
      <c r="H277" s="14">
        <f>data!BL71</f>
        <v>8895974.1699999999</v>
      </c>
      <c r="I277" s="14">
        <f>data!BM71</f>
        <v>0</v>
      </c>
    </row>
    <row r="278" spans="1:9" ht="20.100000000000001" customHeight="1" x14ac:dyDescent="0.2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484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208.37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">
      <c r="A292" s="79" t="str">
        <f>"HOSPITAL NAME: "&amp;data!C84</f>
        <v>HOSPITAL NAME: St. Francis Hospital</v>
      </c>
      <c r="B292" s="77"/>
      <c r="C292" s="77"/>
      <c r="D292" s="77"/>
      <c r="E292" s="77"/>
      <c r="F292" s="77"/>
      <c r="G292" s="80"/>
      <c r="H292" s="79" t="str">
        <f>"FYE: "&amp;data!C82</f>
        <v>FYE: 06/30/2020</v>
      </c>
    </row>
    <row r="293" spans="1:9" ht="20.100000000000001" customHeight="1" x14ac:dyDescent="0.2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">
      <c r="A298" s="23">
        <v>5</v>
      </c>
      <c r="B298" s="14" t="s">
        <v>234</v>
      </c>
      <c r="C298" s="26">
        <f>data!BN60</f>
        <v>5.43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">
      <c r="A299" s="23">
        <v>6</v>
      </c>
      <c r="B299" s="14" t="s">
        <v>235</v>
      </c>
      <c r="C299" s="14">
        <f>data!BN61</f>
        <v>787030.36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">
      <c r="A300" s="23">
        <v>7</v>
      </c>
      <c r="B300" s="14" t="s">
        <v>3</v>
      </c>
      <c r="C300" s="14">
        <f>data!BN62</f>
        <v>155571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480</v>
      </c>
      <c r="H300" s="14">
        <f>data!BS62</f>
        <v>0</v>
      </c>
      <c r="I300" s="14">
        <f>data!BT62</f>
        <v>0</v>
      </c>
    </row>
    <row r="301" spans="1:9" ht="20.100000000000001" customHeight="1" x14ac:dyDescent="0.2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">
      <c r="A302" s="23">
        <v>9</v>
      </c>
      <c r="B302" s="14" t="s">
        <v>237</v>
      </c>
      <c r="C302" s="14">
        <f>data!BN64</f>
        <v>119384.75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">
      <c r="A303" s="23">
        <v>10</v>
      </c>
      <c r="B303" s="14" t="s">
        <v>444</v>
      </c>
      <c r="C303" s="14">
        <f>data!BN65</f>
        <v>2459.56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">
      <c r="A304" s="23">
        <v>11</v>
      </c>
      <c r="B304" s="14" t="s">
        <v>445</v>
      </c>
      <c r="C304" s="14">
        <f>data!BN66</f>
        <v>283393.94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">
      <c r="A305" s="23">
        <v>12</v>
      </c>
      <c r="B305" s="14" t="s">
        <v>6</v>
      </c>
      <c r="C305" s="14">
        <f>data!BN67</f>
        <v>377723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">
      <c r="A306" s="23">
        <v>13</v>
      </c>
      <c r="B306" s="14" t="s">
        <v>474</v>
      </c>
      <c r="C306" s="14">
        <f>data!BN68</f>
        <v>219523.55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">
      <c r="A307" s="23">
        <v>14</v>
      </c>
      <c r="B307" s="14" t="s">
        <v>241</v>
      </c>
      <c r="C307" s="14">
        <f>data!BN69</f>
        <v>341397.69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573622.87</v>
      </c>
      <c r="H307" s="14">
        <f>data!BS69</f>
        <v>0</v>
      </c>
      <c r="I307" s="14">
        <f>data!BT69</f>
        <v>0</v>
      </c>
    </row>
    <row r="308" spans="1:9" ht="20.100000000000001" customHeight="1" x14ac:dyDescent="0.2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">
      <c r="A309" s="23">
        <v>16</v>
      </c>
      <c r="B309" s="48" t="s">
        <v>1180</v>
      </c>
      <c r="C309" s="14">
        <f>data!BN71</f>
        <v>2286483.85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574102.87</v>
      </c>
      <c r="H309" s="14">
        <f>data!BS71</f>
        <v>0</v>
      </c>
      <c r="I309" s="14">
        <f>data!BT71</f>
        <v>0</v>
      </c>
    </row>
    <row r="310" spans="1:9" ht="20.100000000000001" customHeight="1" x14ac:dyDescent="0.2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">
      <c r="A316" s="23">
        <v>22</v>
      </c>
      <c r="B316" s="14" t="s">
        <v>1186</v>
      </c>
      <c r="C316" s="85">
        <f>data!BN76</f>
        <v>24023.99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">
      <c r="A324" s="79" t="str">
        <f>"HOSPITAL NAME: "&amp;data!C84</f>
        <v>HOSPITAL NAME: St. Francis Hospital</v>
      </c>
      <c r="B324" s="77"/>
      <c r="C324" s="77"/>
      <c r="D324" s="77"/>
      <c r="E324" s="77"/>
      <c r="F324" s="77"/>
      <c r="G324" s="80"/>
      <c r="H324" s="79" t="str">
        <f>"FYE: "&amp;data!C82</f>
        <v>FYE: 06/30/2020</v>
      </c>
    </row>
    <row r="325" spans="1:9" ht="20.100000000000001" customHeight="1" x14ac:dyDescent="0.2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25.78</v>
      </c>
      <c r="H330" s="26">
        <f>data!BZ60</f>
        <v>1.9</v>
      </c>
      <c r="I330" s="26">
        <f>data!CA60</f>
        <v>5.46</v>
      </c>
    </row>
    <row r="331" spans="1:9" ht="20.100000000000001" customHeight="1" x14ac:dyDescent="0.2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2364622.04</v>
      </c>
      <c r="H331" s="86">
        <f>data!BZ61</f>
        <v>102127.27</v>
      </c>
      <c r="I331" s="86">
        <f>data!CA61</f>
        <v>658864.14</v>
      </c>
    </row>
    <row r="332" spans="1:9" ht="20.100000000000001" customHeight="1" x14ac:dyDescent="0.2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627290</v>
      </c>
      <c r="H332" s="86">
        <f>data!BZ62</f>
        <v>36697</v>
      </c>
      <c r="I332" s="86">
        <f>data!CA62</f>
        <v>151273</v>
      </c>
    </row>
    <row r="333" spans="1:9" ht="20.100000000000001" customHeight="1" x14ac:dyDescent="0.2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16076.49</v>
      </c>
      <c r="H334" s="86">
        <f>data!BZ64</f>
        <v>79.680000000000007</v>
      </c>
      <c r="I334" s="86">
        <f>data!CA64</f>
        <v>0</v>
      </c>
    </row>
    <row r="335" spans="1:9" ht="20.100000000000001" customHeight="1" x14ac:dyDescent="0.2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1471.43</v>
      </c>
      <c r="H335" s="86">
        <f>data!BZ65</f>
        <v>0</v>
      </c>
      <c r="I335" s="86">
        <f>data!CA65</f>
        <v>31.01</v>
      </c>
    </row>
    <row r="336" spans="1:9" ht="20.100000000000001" customHeight="1" x14ac:dyDescent="0.2">
      <c r="A336" s="23">
        <v>11</v>
      </c>
      <c r="B336" s="14" t="s">
        <v>445</v>
      </c>
      <c r="C336" s="86">
        <f>data!BU66</f>
        <v>0</v>
      </c>
      <c r="D336" s="86">
        <f>data!BV66</f>
        <v>1093038.5</v>
      </c>
      <c r="E336" s="86">
        <f>data!BW66</f>
        <v>112578.52</v>
      </c>
      <c r="F336" s="86">
        <f>data!BX66</f>
        <v>3179802.33</v>
      </c>
      <c r="G336" s="86">
        <f>data!BY66</f>
        <v>162726.73000000001</v>
      </c>
      <c r="H336" s="86">
        <f>data!BZ66</f>
        <v>0</v>
      </c>
      <c r="I336" s="86">
        <f>data!CA66</f>
        <v>0</v>
      </c>
    </row>
    <row r="337" spans="1:9" ht="20.100000000000001" customHeight="1" x14ac:dyDescent="0.2">
      <c r="A337" s="23">
        <v>12</v>
      </c>
      <c r="B337" s="14" t="s">
        <v>6</v>
      </c>
      <c r="C337" s="86">
        <f>data!BU67</f>
        <v>0</v>
      </c>
      <c r="D337" s="86">
        <f>data!BV67</f>
        <v>40391</v>
      </c>
      <c r="E337" s="86">
        <f>data!BW67</f>
        <v>0</v>
      </c>
      <c r="F337" s="86">
        <f>data!BX67</f>
        <v>0</v>
      </c>
      <c r="G337" s="86">
        <f>data!BY67</f>
        <v>56383</v>
      </c>
      <c r="H337" s="86">
        <f>data!BZ67</f>
        <v>0</v>
      </c>
      <c r="I337" s="86">
        <f>data!CA67</f>
        <v>0</v>
      </c>
    </row>
    <row r="338" spans="1:9" ht="20.100000000000001" customHeight="1" x14ac:dyDescent="0.2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12521.86</v>
      </c>
      <c r="H338" s="86">
        <f>data!BZ68</f>
        <v>0</v>
      </c>
      <c r="I338" s="86">
        <f>data!CA68</f>
        <v>0</v>
      </c>
    </row>
    <row r="339" spans="1:9" ht="20.100000000000001" customHeight="1" x14ac:dyDescent="0.2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102460.4</v>
      </c>
      <c r="H339" s="86">
        <f>data!BZ69</f>
        <v>0</v>
      </c>
      <c r="I339" s="86">
        <f>data!CA69</f>
        <v>228.89</v>
      </c>
    </row>
    <row r="340" spans="1:9" ht="20.100000000000001" customHeight="1" x14ac:dyDescent="0.2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">
      <c r="A341" s="23">
        <v>16</v>
      </c>
      <c r="B341" s="48" t="s">
        <v>1180</v>
      </c>
      <c r="C341" s="14">
        <f>data!BU71</f>
        <v>0</v>
      </c>
      <c r="D341" s="14">
        <f>data!BV71</f>
        <v>1133429.5</v>
      </c>
      <c r="E341" s="14">
        <f>data!BW71</f>
        <v>112578.52</v>
      </c>
      <c r="F341" s="14">
        <f>data!BX71</f>
        <v>3179802.33</v>
      </c>
      <c r="G341" s="14">
        <f>data!BY71</f>
        <v>3343551.95</v>
      </c>
      <c r="H341" s="14">
        <f>data!BZ71</f>
        <v>138903.95000000001</v>
      </c>
      <c r="I341" s="14">
        <f>data!CA71</f>
        <v>810397.04</v>
      </c>
    </row>
    <row r="342" spans="1:9" ht="20.100000000000001" customHeight="1" x14ac:dyDescent="0.2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">
      <c r="A348" s="23">
        <v>22</v>
      </c>
      <c r="B348" s="14" t="s">
        <v>1186</v>
      </c>
      <c r="C348" s="85">
        <f>data!BU76</f>
        <v>0</v>
      </c>
      <c r="D348" s="85">
        <f>data!BV76</f>
        <v>2570</v>
      </c>
      <c r="E348" s="85">
        <f>data!BW76</f>
        <v>0</v>
      </c>
      <c r="F348" s="85">
        <f>data!BX76</f>
        <v>0</v>
      </c>
      <c r="G348" s="85">
        <f>data!BY76</f>
        <v>1482</v>
      </c>
      <c r="H348" s="85">
        <f>data!BZ76</f>
        <v>0</v>
      </c>
      <c r="I348" s="85">
        <f>data!CA76</f>
        <v>0</v>
      </c>
    </row>
    <row r="349" spans="1:9" ht="20.100000000000001" customHeight="1" x14ac:dyDescent="0.2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">
      <c r="A350" s="23">
        <v>24</v>
      </c>
      <c r="B350" s="14" t="s">
        <v>1188</v>
      </c>
      <c r="C350" s="85">
        <f>data!BU78</f>
        <v>0</v>
      </c>
      <c r="D350" s="85">
        <f>data!BV78</f>
        <v>1106.4100000000001</v>
      </c>
      <c r="E350" s="85">
        <f>data!BW78</f>
        <v>0</v>
      </c>
      <c r="F350" s="85">
        <f>data!BX78</f>
        <v>0</v>
      </c>
      <c r="G350" s="85">
        <f>data!BY78</f>
        <v>638.01</v>
      </c>
      <c r="H350" s="85">
        <f>data!BZ78</f>
        <v>0</v>
      </c>
      <c r="I350" s="85">
        <f>data!CA78</f>
        <v>0</v>
      </c>
    </row>
    <row r="351" spans="1:9" ht="20.100000000000001" customHeight="1" x14ac:dyDescent="0.2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">
      <c r="A356" s="79" t="str">
        <f>"HOSPITAL NAME: "&amp;data!C84</f>
        <v>HOSPITAL NAME: St. Francis Hospital</v>
      </c>
      <c r="B356" s="77"/>
      <c r="C356" s="77"/>
      <c r="D356" s="77"/>
      <c r="E356" s="77"/>
      <c r="F356" s="77"/>
      <c r="G356" s="80"/>
      <c r="H356" s="79" t="str">
        <f>"FYE: "&amp;data!C82</f>
        <v>FYE: 06/30/2020</v>
      </c>
    </row>
    <row r="357" spans="1:9" ht="20.100000000000001" customHeight="1" x14ac:dyDescent="0.2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">
      <c r="A362" s="23">
        <v>5</v>
      </c>
      <c r="B362" s="14" t="s">
        <v>234</v>
      </c>
      <c r="C362" s="26">
        <f>data!CB60</f>
        <v>0</v>
      </c>
      <c r="D362" s="26">
        <f>data!CC60</f>
        <v>0.09</v>
      </c>
      <c r="E362" s="217"/>
      <c r="F362" s="211"/>
      <c r="G362" s="211"/>
      <c r="H362" s="211"/>
      <c r="I362" s="87">
        <f>data!CE60</f>
        <v>1192.3700000000001</v>
      </c>
    </row>
    <row r="363" spans="1:9" ht="20.100000000000001" customHeight="1" x14ac:dyDescent="0.2">
      <c r="A363" s="23">
        <v>6</v>
      </c>
      <c r="B363" s="14" t="s">
        <v>235</v>
      </c>
      <c r="C363" s="86">
        <f>data!CB61</f>
        <v>0</v>
      </c>
      <c r="D363" s="86">
        <f>data!CC61</f>
        <v>1093915.24</v>
      </c>
      <c r="E363" s="218"/>
      <c r="F363" s="219"/>
      <c r="G363" s="219"/>
      <c r="H363" s="219"/>
      <c r="I363" s="86">
        <f>data!CE61</f>
        <v>118552060.45999998</v>
      </c>
    </row>
    <row r="364" spans="1:9" ht="20.100000000000001" customHeight="1" x14ac:dyDescent="0.2">
      <c r="A364" s="23">
        <v>7</v>
      </c>
      <c r="B364" s="14" t="s">
        <v>3</v>
      </c>
      <c r="C364" s="86">
        <f>data!CB62</f>
        <v>0</v>
      </c>
      <c r="D364" s="86">
        <f>data!CC62</f>
        <v>2283</v>
      </c>
      <c r="E364" s="218"/>
      <c r="F364" s="219"/>
      <c r="G364" s="219"/>
      <c r="H364" s="219"/>
      <c r="I364" s="86">
        <f>data!CE62</f>
        <v>26972205</v>
      </c>
    </row>
    <row r="365" spans="1:9" ht="20.100000000000001" customHeight="1" x14ac:dyDescent="0.2">
      <c r="A365" s="23">
        <v>8</v>
      </c>
      <c r="B365" s="14" t="s">
        <v>236</v>
      </c>
      <c r="C365" s="86">
        <f>data!CB63</f>
        <v>0</v>
      </c>
      <c r="D365" s="86">
        <f>data!CC63</f>
        <v>4123928.22</v>
      </c>
      <c r="E365" s="218"/>
      <c r="F365" s="219"/>
      <c r="G365" s="219"/>
      <c r="H365" s="219"/>
      <c r="I365" s="86">
        <f>data!CE63</f>
        <v>13493247.789999999</v>
      </c>
    </row>
    <row r="366" spans="1:9" ht="20.100000000000001" customHeight="1" x14ac:dyDescent="0.2">
      <c r="A366" s="23">
        <v>9</v>
      </c>
      <c r="B366" s="14" t="s">
        <v>237</v>
      </c>
      <c r="C366" s="86">
        <f>data!CB64</f>
        <v>0</v>
      </c>
      <c r="D366" s="86">
        <f>data!CC64</f>
        <v>-229230.01</v>
      </c>
      <c r="E366" s="218"/>
      <c r="F366" s="219"/>
      <c r="G366" s="219"/>
      <c r="H366" s="219"/>
      <c r="I366" s="86">
        <f>data!CE64</f>
        <v>34585887.219999999</v>
      </c>
    </row>
    <row r="367" spans="1:9" ht="20.100000000000001" customHeight="1" x14ac:dyDescent="0.2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1433798.6199999999</v>
      </c>
    </row>
    <row r="368" spans="1:9" ht="20.100000000000001" customHeight="1" x14ac:dyDescent="0.2">
      <c r="A368" s="23">
        <v>11</v>
      </c>
      <c r="B368" s="14" t="s">
        <v>445</v>
      </c>
      <c r="C368" s="86">
        <f>data!CB66</f>
        <v>0</v>
      </c>
      <c r="D368" s="86">
        <f>data!CC66</f>
        <v>29269739.009999998</v>
      </c>
      <c r="E368" s="218"/>
      <c r="F368" s="219"/>
      <c r="G368" s="219"/>
      <c r="H368" s="219"/>
      <c r="I368" s="86">
        <f>data!CE66</f>
        <v>65160328.659999996</v>
      </c>
    </row>
    <row r="369" spans="1:9" ht="20.100000000000001" customHeight="1" x14ac:dyDescent="0.2">
      <c r="A369" s="23">
        <v>12</v>
      </c>
      <c r="B369" s="14" t="s">
        <v>6</v>
      </c>
      <c r="C369" s="86">
        <f>data!CB67</f>
        <v>0</v>
      </c>
      <c r="D369" s="86">
        <f>data!CC67</f>
        <v>1046974</v>
      </c>
      <c r="E369" s="218"/>
      <c r="F369" s="219"/>
      <c r="G369" s="219"/>
      <c r="H369" s="219"/>
      <c r="I369" s="86">
        <f>data!CE67</f>
        <v>13605583</v>
      </c>
    </row>
    <row r="370" spans="1:9" ht="20.100000000000001" customHeight="1" x14ac:dyDescent="0.2">
      <c r="A370" s="23">
        <v>13</v>
      </c>
      <c r="B370" s="14" t="s">
        <v>474</v>
      </c>
      <c r="C370" s="86">
        <f>data!CB68</f>
        <v>0</v>
      </c>
      <c r="D370" s="86">
        <f>data!CC68</f>
        <v>435793.99</v>
      </c>
      <c r="E370" s="218"/>
      <c r="F370" s="219"/>
      <c r="G370" s="219"/>
      <c r="H370" s="219"/>
      <c r="I370" s="86">
        <f>data!CE68</f>
        <v>7426338.4700000007</v>
      </c>
    </row>
    <row r="371" spans="1:9" ht="20.100000000000001" customHeight="1" x14ac:dyDescent="0.2">
      <c r="A371" s="23">
        <v>14</v>
      </c>
      <c r="B371" s="14" t="s">
        <v>241</v>
      </c>
      <c r="C371" s="86">
        <f>data!CB69</f>
        <v>0</v>
      </c>
      <c r="D371" s="86">
        <f>data!CC69</f>
        <v>50416.35</v>
      </c>
      <c r="E371" s="86">
        <f>data!CD69</f>
        <v>11992065.190000001</v>
      </c>
      <c r="F371" s="219"/>
      <c r="G371" s="219"/>
      <c r="H371" s="219"/>
      <c r="I371" s="86">
        <f>data!CE69</f>
        <v>15088173.600000001</v>
      </c>
    </row>
    <row r="372" spans="1:9" ht="20.100000000000001" customHeight="1" x14ac:dyDescent="0.2">
      <c r="A372" s="23">
        <v>15</v>
      </c>
      <c r="B372" s="14" t="s">
        <v>242</v>
      </c>
      <c r="C372" s="14">
        <f>-data!CB70</f>
        <v>0</v>
      </c>
      <c r="D372" s="14">
        <f>-data!CC70</f>
        <v>-3130.85</v>
      </c>
      <c r="E372" s="229">
        <f>data!CD70</f>
        <v>5825865.2400000002</v>
      </c>
      <c r="F372" s="220"/>
      <c r="G372" s="220"/>
      <c r="H372" s="220"/>
      <c r="I372" s="14">
        <f>-data!CE70</f>
        <v>-12107257.299999999</v>
      </c>
    </row>
    <row r="373" spans="1:9" ht="20.100000000000001" customHeight="1" x14ac:dyDescent="0.2">
      <c r="A373" s="23">
        <v>16</v>
      </c>
      <c r="B373" s="48" t="s">
        <v>1180</v>
      </c>
      <c r="C373" s="86">
        <f>data!CB71</f>
        <v>0</v>
      </c>
      <c r="D373" s="86">
        <f>data!CC71</f>
        <v>35790688.950000003</v>
      </c>
      <c r="E373" s="86">
        <f>data!CD71</f>
        <v>6166199.9500000011</v>
      </c>
      <c r="F373" s="219"/>
      <c r="G373" s="219"/>
      <c r="H373" s="219"/>
      <c r="I373" s="14">
        <f>data!CE71</f>
        <v>284210365.52000004</v>
      </c>
    </row>
    <row r="374" spans="1:9" ht="20.100000000000001" customHeight="1" x14ac:dyDescent="0.2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551004880.28000021</v>
      </c>
    </row>
    <row r="377" spans="1:9" ht="20.100000000000001" customHeight="1" x14ac:dyDescent="0.2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860689170.50000012</v>
      </c>
    </row>
    <row r="378" spans="1:9" ht="20.100000000000001" customHeight="1" x14ac:dyDescent="0.2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1411694050.7800004</v>
      </c>
    </row>
    <row r="379" spans="1:9" ht="20.100000000000001" customHeight="1" x14ac:dyDescent="0.2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259284.66999999998</v>
      </c>
    </row>
    <row r="381" spans="1:9" ht="20.100000000000001" customHeight="1" x14ac:dyDescent="0.2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112544</v>
      </c>
    </row>
    <row r="382" spans="1:9" ht="20.100000000000001" customHeight="1" x14ac:dyDescent="0.2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71685.97</v>
      </c>
    </row>
    <row r="383" spans="1:9" ht="20.100000000000001" customHeight="1" x14ac:dyDescent="0.2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1034185.2000000001</v>
      </c>
    </row>
    <row r="384" spans="1:9" ht="20.100000000000001" customHeight="1" x14ac:dyDescent="0.2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338.47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Catholic Health Initiatives</cp:lastModifiedBy>
  <cp:lastPrinted>2002-06-14T19:29:50Z</cp:lastPrinted>
  <dcterms:created xsi:type="dcterms:W3CDTF">1999-06-02T22:01:56Z</dcterms:created>
  <dcterms:modified xsi:type="dcterms:W3CDTF">2020-12-22T23:42:01Z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