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450E9BC-76AE-46E5-B850-D2F14B0914B3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9" i="1" l="1"/>
  <c r="C203" i="1"/>
  <c r="C312" i="1"/>
  <c r="C274" i="1" l="1"/>
  <c r="AG59" i="1" l="1"/>
  <c r="CC69" i="1" l="1"/>
  <c r="CC68" i="1"/>
  <c r="CC66" i="1"/>
  <c r="CC65" i="1"/>
  <c r="AA64" i="1"/>
  <c r="CC64" i="1"/>
  <c r="BO64" i="1"/>
  <c r="BN64" i="1"/>
  <c r="BG64" i="1"/>
  <c r="BF64" i="1"/>
  <c r="BE64" i="1"/>
  <c r="BA64" i="1"/>
  <c r="AZ64" i="1"/>
  <c r="AP64" i="1"/>
  <c r="AL64" i="1"/>
  <c r="AK64" i="1"/>
  <c r="AJ64" i="1"/>
  <c r="AG64" i="1"/>
  <c r="AE64" i="1"/>
  <c r="AC64" i="1"/>
  <c r="AB64" i="1"/>
  <c r="Y64" i="1"/>
  <c r="X64" i="1"/>
  <c r="U64" i="1"/>
  <c r="Q64" i="1"/>
  <c r="P64" i="1"/>
  <c r="G64" i="1"/>
  <c r="E64" i="1"/>
  <c r="CC63" i="1"/>
  <c r="CC61" i="1"/>
  <c r="CC47" i="1"/>
  <c r="AV74" i="1"/>
  <c r="AP74" i="1"/>
  <c r="AK74" i="1"/>
  <c r="AJ74" i="1"/>
  <c r="AG74" i="1"/>
  <c r="AC74" i="1"/>
  <c r="AB74" i="1"/>
  <c r="AA74" i="1"/>
  <c r="Y74" i="1"/>
  <c r="X74" i="1"/>
  <c r="U74" i="1"/>
  <c r="R74" i="1"/>
  <c r="P74" i="1"/>
  <c r="E74" i="1"/>
  <c r="AV73" i="1"/>
  <c r="AL73" i="1"/>
  <c r="AK73" i="1"/>
  <c r="AJ73" i="1"/>
  <c r="AC73" i="1"/>
  <c r="AB73" i="1"/>
  <c r="Y73" i="1"/>
  <c r="X73" i="1"/>
  <c r="U73" i="1"/>
  <c r="S73" i="1"/>
  <c r="P73" i="1"/>
  <c r="G73" i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F539" i="10" s="1"/>
  <c r="H538" i="10"/>
  <c r="E538" i="10"/>
  <c r="D538" i="10"/>
  <c r="B538" i="10"/>
  <c r="F538" i="10" s="1"/>
  <c r="F537" i="10"/>
  <c r="E537" i="10"/>
  <c r="D537" i="10"/>
  <c r="B537" i="10"/>
  <c r="H537" i="10" s="1"/>
  <c r="E536" i="10"/>
  <c r="D536" i="10"/>
  <c r="B536" i="10"/>
  <c r="F536" i="10" s="1"/>
  <c r="E535" i="10"/>
  <c r="D535" i="10"/>
  <c r="B535" i="10"/>
  <c r="H534" i="10"/>
  <c r="E534" i="10"/>
  <c r="D534" i="10"/>
  <c r="B534" i="10"/>
  <c r="F534" i="10" s="1"/>
  <c r="E533" i="10"/>
  <c r="D533" i="10"/>
  <c r="B533" i="10"/>
  <c r="F533" i="10" s="1"/>
  <c r="E532" i="10"/>
  <c r="D532" i="10"/>
  <c r="B532" i="10"/>
  <c r="F532" i="10" s="1"/>
  <c r="F531" i="10"/>
  <c r="E531" i="10"/>
  <c r="D531" i="10"/>
  <c r="B531" i="10"/>
  <c r="E530" i="10"/>
  <c r="D530" i="10"/>
  <c r="B530" i="10"/>
  <c r="F530" i="10" s="1"/>
  <c r="E529" i="10"/>
  <c r="D529" i="10"/>
  <c r="B529" i="10"/>
  <c r="F529" i="10" s="1"/>
  <c r="E528" i="10"/>
  <c r="D528" i="10"/>
  <c r="B528" i="10"/>
  <c r="F528" i="10" s="1"/>
  <c r="F527" i="10"/>
  <c r="E527" i="10"/>
  <c r="D527" i="10"/>
  <c r="B527" i="10"/>
  <c r="H527" i="10" s="1"/>
  <c r="H526" i="10"/>
  <c r="E526" i="10"/>
  <c r="D526" i="10"/>
  <c r="B526" i="10"/>
  <c r="F526" i="10" s="1"/>
  <c r="E525" i="10"/>
  <c r="D525" i="10"/>
  <c r="B525" i="10"/>
  <c r="H525" i="10" s="1"/>
  <c r="E524" i="10"/>
  <c r="D524" i="10"/>
  <c r="B524" i="10"/>
  <c r="F524" i="10" s="1"/>
  <c r="F523" i="10"/>
  <c r="E523" i="10"/>
  <c r="D523" i="10"/>
  <c r="B523" i="10"/>
  <c r="H523" i="10" s="1"/>
  <c r="E522" i="10"/>
  <c r="D522" i="10"/>
  <c r="B522" i="10"/>
  <c r="F522" i="10" s="1"/>
  <c r="B521" i="10"/>
  <c r="E520" i="10"/>
  <c r="D520" i="10"/>
  <c r="B520" i="10"/>
  <c r="F520" i="10" s="1"/>
  <c r="E519" i="10"/>
  <c r="D519" i="10"/>
  <c r="B519" i="10"/>
  <c r="H519" i="10" s="1"/>
  <c r="E518" i="10"/>
  <c r="D518" i="10"/>
  <c r="B518" i="10"/>
  <c r="F518" i="10" s="1"/>
  <c r="F517" i="10"/>
  <c r="E517" i="10"/>
  <c r="D517" i="10"/>
  <c r="B517" i="10"/>
  <c r="H516" i="10"/>
  <c r="E516" i="10"/>
  <c r="D516" i="10"/>
  <c r="B516" i="10"/>
  <c r="F516" i="10" s="1"/>
  <c r="F515" i="10"/>
  <c r="E515" i="10"/>
  <c r="D515" i="10"/>
  <c r="B515" i="10"/>
  <c r="H515" i="10" s="1"/>
  <c r="E514" i="10"/>
  <c r="D514" i="10"/>
  <c r="B514" i="10"/>
  <c r="F514" i="10" s="1"/>
  <c r="H513" i="10"/>
  <c r="F513" i="10"/>
  <c r="B513" i="10"/>
  <c r="F512" i="10"/>
  <c r="B512" i="10"/>
  <c r="F511" i="10"/>
  <c r="E511" i="10"/>
  <c r="D511" i="10"/>
  <c r="B511" i="10"/>
  <c r="E510" i="10"/>
  <c r="D510" i="10"/>
  <c r="B510" i="10"/>
  <c r="F510" i="10" s="1"/>
  <c r="E509" i="10"/>
  <c r="D509" i="10"/>
  <c r="B509" i="10"/>
  <c r="H508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F506" i="10" s="1"/>
  <c r="F505" i="10"/>
  <c r="E505" i="10"/>
  <c r="D505" i="10"/>
  <c r="B505" i="10"/>
  <c r="H505" i="10" s="1"/>
  <c r="H504" i="10"/>
  <c r="E504" i="10"/>
  <c r="D504" i="10"/>
  <c r="B504" i="10"/>
  <c r="F504" i="10" s="1"/>
  <c r="E503" i="10"/>
  <c r="D503" i="10"/>
  <c r="B503" i="10"/>
  <c r="H503" i="10" s="1"/>
  <c r="E502" i="10"/>
  <c r="D502" i="10"/>
  <c r="B502" i="10"/>
  <c r="F502" i="10" s="1"/>
  <c r="F501" i="10"/>
  <c r="E501" i="10"/>
  <c r="D501" i="10"/>
  <c r="B501" i="10"/>
  <c r="H501" i="10" s="1"/>
  <c r="E500" i="10"/>
  <c r="D500" i="10"/>
  <c r="B500" i="10"/>
  <c r="F500" i="10" s="1"/>
  <c r="E499" i="10"/>
  <c r="D499" i="10"/>
  <c r="B499" i="10"/>
  <c r="H499" i="10" s="1"/>
  <c r="E498" i="10"/>
  <c r="D498" i="10"/>
  <c r="B498" i="10"/>
  <c r="F498" i="10" s="1"/>
  <c r="F497" i="10"/>
  <c r="E497" i="10"/>
  <c r="D497" i="10"/>
  <c r="B497" i="10"/>
  <c r="H497" i="10" s="1"/>
  <c r="H496" i="10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6" i="10"/>
  <c r="B475" i="10"/>
  <c r="B474" i="10"/>
  <c r="B473" i="10"/>
  <c r="B472" i="10"/>
  <c r="C471" i="10"/>
  <c r="B471" i="10"/>
  <c r="B470" i="10"/>
  <c r="B469" i="10"/>
  <c r="B468" i="10"/>
  <c r="C464" i="10"/>
  <c r="B464" i="10"/>
  <c r="C463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B441" i="10"/>
  <c r="B439" i="10"/>
  <c r="B440" i="10" s="1"/>
  <c r="C438" i="10"/>
  <c r="B438" i="10"/>
  <c r="D437" i="10"/>
  <c r="B437" i="10"/>
  <c r="D436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C415" i="10"/>
  <c r="B415" i="10"/>
  <c r="B414" i="10"/>
  <c r="A412" i="10"/>
  <c r="D390" i="10"/>
  <c r="D372" i="10"/>
  <c r="D368" i="10"/>
  <c r="D367" i="10"/>
  <c r="C448" i="10" s="1"/>
  <c r="D361" i="10"/>
  <c r="B465" i="10" s="1"/>
  <c r="D329" i="10"/>
  <c r="D328" i="10"/>
  <c r="D330" i="10" s="1"/>
  <c r="D319" i="10"/>
  <c r="D339" i="10" s="1"/>
  <c r="C482" i="10" s="1"/>
  <c r="D314" i="10"/>
  <c r="D290" i="10"/>
  <c r="D283" i="10"/>
  <c r="D277" i="10"/>
  <c r="D275" i="10"/>
  <c r="D265" i="10"/>
  <c r="D260" i="10"/>
  <c r="D240" i="10"/>
  <c r="D236" i="10"/>
  <c r="B446" i="10" s="1"/>
  <c r="C225" i="10"/>
  <c r="C224" i="10"/>
  <c r="C223" i="10"/>
  <c r="D229" i="10" s="1"/>
  <c r="D221" i="10"/>
  <c r="B444" i="10" s="1"/>
  <c r="D217" i="10"/>
  <c r="C217" i="10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E197" i="10"/>
  <c r="C470" i="10" s="1"/>
  <c r="E196" i="10"/>
  <c r="C469" i="10" s="1"/>
  <c r="E195" i="10"/>
  <c r="C468" i="10" s="1"/>
  <c r="D190" i="10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D142" i="10"/>
  <c r="C142" i="10"/>
  <c r="B142" i="10"/>
  <c r="E141" i="10"/>
  <c r="D463" i="10" s="1"/>
  <c r="D465" i="10" s="1"/>
  <c r="D141" i="10"/>
  <c r="C141" i="10"/>
  <c r="B141" i="10"/>
  <c r="E140" i="10"/>
  <c r="E139" i="10"/>
  <c r="E138" i="10"/>
  <c r="C414" i="10" s="1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F76" i="10"/>
  <c r="CE76" i="10"/>
  <c r="D612" i="10" s="1"/>
  <c r="CE75" i="10"/>
  <c r="K612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AV74" i="10"/>
  <c r="AV75" i="10" s="1"/>
  <c r="CE73" i="10"/>
  <c r="CD71" i="10"/>
  <c r="C575" i="10" s="1"/>
  <c r="CE70" i="10"/>
  <c r="C458" i="10" s="1"/>
  <c r="CC69" i="10"/>
  <c r="CE68" i="10"/>
  <c r="C434" i="10" s="1"/>
  <c r="CC68" i="10"/>
  <c r="CC67" i="10"/>
  <c r="CA67" i="10"/>
  <c r="BS67" i="10"/>
  <c r="BM67" i="10"/>
  <c r="BC67" i="10"/>
  <c r="AW67" i="10"/>
  <c r="AM67" i="10"/>
  <c r="AG67" i="10"/>
  <c r="W67" i="10"/>
  <c r="Q67" i="10"/>
  <c r="CE66" i="10"/>
  <c r="C432" i="10" s="1"/>
  <c r="CE65" i="10"/>
  <c r="C431" i="10" s="1"/>
  <c r="CE64" i="10"/>
  <c r="CE63" i="10"/>
  <c r="C429" i="10" s="1"/>
  <c r="CB62" i="10"/>
  <c r="BX62" i="10"/>
  <c r="BT62" i="10"/>
  <c r="BP62" i="10"/>
  <c r="BL62" i="10"/>
  <c r="BH62" i="10"/>
  <c r="BD62" i="10"/>
  <c r="AZ62" i="10"/>
  <c r="AV62" i="10"/>
  <c r="AR62" i="10"/>
  <c r="AN62" i="10"/>
  <c r="AJ62" i="10"/>
  <c r="AF62" i="10"/>
  <c r="AB62" i="10"/>
  <c r="X62" i="10"/>
  <c r="T62" i="10"/>
  <c r="P62" i="10"/>
  <c r="L62" i="10"/>
  <c r="H62" i="10"/>
  <c r="H71" i="10" s="1"/>
  <c r="D62" i="10"/>
  <c r="CE61" i="10"/>
  <c r="CC48" i="10" s="1"/>
  <c r="CC61" i="10"/>
  <c r="CE60" i="10"/>
  <c r="H612" i="10" s="1"/>
  <c r="B53" i="10"/>
  <c r="CC52" i="10"/>
  <c r="CB52" i="10"/>
  <c r="CB67" i="10" s="1"/>
  <c r="CA52" i="10"/>
  <c r="BZ52" i="10"/>
  <c r="BZ67" i="10" s="1"/>
  <c r="BY52" i="10"/>
  <c r="BY67" i="10" s="1"/>
  <c r="BX52" i="10"/>
  <c r="BX67" i="10" s="1"/>
  <c r="BW52" i="10"/>
  <c r="BW67" i="10" s="1"/>
  <c r="BV52" i="10"/>
  <c r="BV67" i="10" s="1"/>
  <c r="BU52" i="10"/>
  <c r="BU67" i="10" s="1"/>
  <c r="BT52" i="10"/>
  <c r="BT67" i="10" s="1"/>
  <c r="BS52" i="10"/>
  <c r="BR52" i="10"/>
  <c r="BR67" i="10" s="1"/>
  <c r="BQ52" i="10"/>
  <c r="BQ67" i="10" s="1"/>
  <c r="BP52" i="10"/>
  <c r="BP67" i="10" s="1"/>
  <c r="BO52" i="10"/>
  <c r="BO67" i="10" s="1"/>
  <c r="BN52" i="10"/>
  <c r="BN67" i="10" s="1"/>
  <c r="BM52" i="10"/>
  <c r="BL52" i="10"/>
  <c r="BL67" i="10" s="1"/>
  <c r="BK52" i="10"/>
  <c r="BK67" i="10" s="1"/>
  <c r="BJ52" i="10"/>
  <c r="BJ67" i="10" s="1"/>
  <c r="BI52" i="10"/>
  <c r="BI67" i="10" s="1"/>
  <c r="BH52" i="10"/>
  <c r="BH67" i="10" s="1"/>
  <c r="BG52" i="10"/>
  <c r="BG67" i="10" s="1"/>
  <c r="BF52" i="10"/>
  <c r="BF67" i="10" s="1"/>
  <c r="BE52" i="10"/>
  <c r="BE67" i="10" s="1"/>
  <c r="BD52" i="10"/>
  <c r="BD67" i="10" s="1"/>
  <c r="BC52" i="10"/>
  <c r="BB52" i="10"/>
  <c r="BB67" i="10" s="1"/>
  <c r="BA52" i="10"/>
  <c r="BA67" i="10" s="1"/>
  <c r="AZ52" i="10"/>
  <c r="AZ67" i="10" s="1"/>
  <c r="AY52" i="10"/>
  <c r="AY67" i="10" s="1"/>
  <c r="AX52" i="10"/>
  <c r="AX67" i="10" s="1"/>
  <c r="AW52" i="10"/>
  <c r="AV52" i="10"/>
  <c r="AV67" i="10" s="1"/>
  <c r="AU52" i="10"/>
  <c r="AU67" i="10" s="1"/>
  <c r="AT52" i="10"/>
  <c r="AT67" i="10" s="1"/>
  <c r="AS52" i="10"/>
  <c r="AS67" i="10" s="1"/>
  <c r="AR52" i="10"/>
  <c r="AR67" i="10" s="1"/>
  <c r="AQ52" i="10"/>
  <c r="AQ67" i="10" s="1"/>
  <c r="AP52" i="10"/>
  <c r="AP67" i="10" s="1"/>
  <c r="AO52" i="10"/>
  <c r="AO67" i="10" s="1"/>
  <c r="AN52" i="10"/>
  <c r="AN67" i="10" s="1"/>
  <c r="AM52" i="10"/>
  <c r="AL52" i="10"/>
  <c r="AL67" i="10" s="1"/>
  <c r="AK52" i="10"/>
  <c r="AK67" i="10" s="1"/>
  <c r="AJ52" i="10"/>
  <c r="AJ67" i="10" s="1"/>
  <c r="AI52" i="10"/>
  <c r="AI67" i="10" s="1"/>
  <c r="AH52" i="10"/>
  <c r="AH67" i="10" s="1"/>
  <c r="AG52" i="10"/>
  <c r="AF52" i="10"/>
  <c r="AF67" i="10" s="1"/>
  <c r="AE52" i="10"/>
  <c r="AE67" i="10" s="1"/>
  <c r="AD52" i="10"/>
  <c r="AD67" i="10" s="1"/>
  <c r="AC52" i="10"/>
  <c r="AC67" i="10" s="1"/>
  <c r="AB52" i="10"/>
  <c r="AB67" i="10" s="1"/>
  <c r="AA52" i="10"/>
  <c r="AA67" i="10" s="1"/>
  <c r="Z52" i="10"/>
  <c r="Z67" i="10" s="1"/>
  <c r="Y52" i="10"/>
  <c r="Y67" i="10" s="1"/>
  <c r="X52" i="10"/>
  <c r="X67" i="10" s="1"/>
  <c r="W52" i="10"/>
  <c r="V52" i="10"/>
  <c r="V67" i="10" s="1"/>
  <c r="U52" i="10"/>
  <c r="U67" i="10" s="1"/>
  <c r="T52" i="10"/>
  <c r="T67" i="10" s="1"/>
  <c r="S52" i="10"/>
  <c r="S67" i="10" s="1"/>
  <c r="R52" i="10"/>
  <c r="R67" i="10" s="1"/>
  <c r="Q52" i="10"/>
  <c r="P52" i="10"/>
  <c r="P67" i="10" s="1"/>
  <c r="O52" i="10"/>
  <c r="O67" i="10" s="1"/>
  <c r="N52" i="10"/>
  <c r="N67" i="10" s="1"/>
  <c r="M52" i="10"/>
  <c r="M67" i="10" s="1"/>
  <c r="L52" i="10"/>
  <c r="L67" i="10" s="1"/>
  <c r="K52" i="10"/>
  <c r="K67" i="10" s="1"/>
  <c r="J52" i="10"/>
  <c r="J67" i="10" s="1"/>
  <c r="I52" i="10"/>
  <c r="I67" i="10" s="1"/>
  <c r="H52" i="10"/>
  <c r="H67" i="10" s="1"/>
  <c r="G52" i="10"/>
  <c r="G67" i="10" s="1"/>
  <c r="F52" i="10"/>
  <c r="F67" i="10" s="1"/>
  <c r="E52" i="10"/>
  <c r="E67" i="10" s="1"/>
  <c r="D52" i="10"/>
  <c r="CE52" i="10" s="1"/>
  <c r="C52" i="10"/>
  <c r="C67" i="10" s="1"/>
  <c r="CE51" i="10"/>
  <c r="B49" i="10"/>
  <c r="CB48" i="10"/>
  <c r="CA48" i="10"/>
  <c r="CA62" i="10" s="1"/>
  <c r="CA71" i="10" s="1"/>
  <c r="BZ48" i="10"/>
  <c r="BZ62" i="10" s="1"/>
  <c r="BZ71" i="10" s="1"/>
  <c r="BX48" i="10"/>
  <c r="BW48" i="10"/>
  <c r="BW62" i="10" s="1"/>
  <c r="BV48" i="10"/>
  <c r="BV62" i="10" s="1"/>
  <c r="BV71" i="10" s="1"/>
  <c r="BT48" i="10"/>
  <c r="BS48" i="10"/>
  <c r="BS62" i="10" s="1"/>
  <c r="BS71" i="10" s="1"/>
  <c r="BR48" i="10"/>
  <c r="BR62" i="10" s="1"/>
  <c r="BR71" i="10" s="1"/>
  <c r="BP48" i="10"/>
  <c r="BO48" i="10"/>
  <c r="BO62" i="10" s="1"/>
  <c r="BO71" i="10" s="1"/>
  <c r="BN48" i="10"/>
  <c r="BN62" i="10" s="1"/>
  <c r="BN71" i="10" s="1"/>
  <c r="BL48" i="10"/>
  <c r="BK48" i="10"/>
  <c r="BK62" i="10" s="1"/>
  <c r="BK71" i="10" s="1"/>
  <c r="BJ48" i="10"/>
  <c r="BJ62" i="10" s="1"/>
  <c r="BJ71" i="10" s="1"/>
  <c r="BI48" i="10"/>
  <c r="BI62" i="10" s="1"/>
  <c r="BI71" i="10" s="1"/>
  <c r="BH48" i="10"/>
  <c r="BG48" i="10"/>
  <c r="BG62" i="10" s="1"/>
  <c r="BG71" i="10" s="1"/>
  <c r="BF48" i="10"/>
  <c r="BF62" i="10" s="1"/>
  <c r="BF71" i="10" s="1"/>
  <c r="BE48" i="10"/>
  <c r="BE62" i="10" s="1"/>
  <c r="BE71" i="10" s="1"/>
  <c r="BD48" i="10"/>
  <c r="BC48" i="10"/>
  <c r="BC62" i="10" s="1"/>
  <c r="BC71" i="10" s="1"/>
  <c r="BB48" i="10"/>
  <c r="BB62" i="10" s="1"/>
  <c r="BB71" i="10" s="1"/>
  <c r="BA48" i="10"/>
  <c r="BA62" i="10" s="1"/>
  <c r="BA71" i="10" s="1"/>
  <c r="AZ48" i="10"/>
  <c r="AY48" i="10"/>
  <c r="AY62" i="10" s="1"/>
  <c r="AY71" i="10" s="1"/>
  <c r="AX48" i="10"/>
  <c r="AX62" i="10" s="1"/>
  <c r="AX71" i="10" s="1"/>
  <c r="AW48" i="10"/>
  <c r="AW62" i="10" s="1"/>
  <c r="AW71" i="10" s="1"/>
  <c r="AV48" i="10"/>
  <c r="AU48" i="10"/>
  <c r="AU62" i="10" s="1"/>
  <c r="AU71" i="10" s="1"/>
  <c r="AT48" i="10"/>
  <c r="AT62" i="10" s="1"/>
  <c r="AT71" i="10" s="1"/>
  <c r="AS48" i="10"/>
  <c r="AS62" i="10" s="1"/>
  <c r="AS71" i="10" s="1"/>
  <c r="AR48" i="10"/>
  <c r="AQ48" i="10"/>
  <c r="AQ62" i="10" s="1"/>
  <c r="AQ71" i="10" s="1"/>
  <c r="AP48" i="10"/>
  <c r="AP62" i="10" s="1"/>
  <c r="AP71" i="10" s="1"/>
  <c r="AO48" i="10"/>
  <c r="AO62" i="10" s="1"/>
  <c r="AO71" i="10" s="1"/>
  <c r="AN48" i="10"/>
  <c r="AM48" i="10"/>
  <c r="AM62" i="10" s="1"/>
  <c r="AM71" i="10" s="1"/>
  <c r="AL48" i="10"/>
  <c r="AL62" i="10" s="1"/>
  <c r="AL71" i="10" s="1"/>
  <c r="AK48" i="10"/>
  <c r="AK62" i="10" s="1"/>
  <c r="AK71" i="10" s="1"/>
  <c r="AJ48" i="10"/>
  <c r="AI48" i="10"/>
  <c r="AI62" i="10" s="1"/>
  <c r="AI71" i="10" s="1"/>
  <c r="AH48" i="10"/>
  <c r="AH62" i="10" s="1"/>
  <c r="AH71" i="10" s="1"/>
  <c r="AG48" i="10"/>
  <c r="AG62" i="10" s="1"/>
  <c r="AG71" i="10" s="1"/>
  <c r="AF48" i="10"/>
  <c r="AE48" i="10"/>
  <c r="AE62" i="10" s="1"/>
  <c r="AE71" i="10" s="1"/>
  <c r="AD48" i="10"/>
  <c r="AD62" i="10" s="1"/>
  <c r="AD71" i="10" s="1"/>
  <c r="AC48" i="10"/>
  <c r="AC62" i="10" s="1"/>
  <c r="AC71" i="10" s="1"/>
  <c r="AB48" i="10"/>
  <c r="AA48" i="10"/>
  <c r="AA62" i="10" s="1"/>
  <c r="AA71" i="10" s="1"/>
  <c r="Z48" i="10"/>
  <c r="Z62" i="10" s="1"/>
  <c r="Z71" i="10" s="1"/>
  <c r="Y48" i="10"/>
  <c r="Y62" i="10" s="1"/>
  <c r="Y71" i="10" s="1"/>
  <c r="X48" i="10"/>
  <c r="W48" i="10"/>
  <c r="W62" i="10" s="1"/>
  <c r="W71" i="10" s="1"/>
  <c r="V48" i="10"/>
  <c r="V62" i="10" s="1"/>
  <c r="V71" i="10" s="1"/>
  <c r="U48" i="10"/>
  <c r="U62" i="10" s="1"/>
  <c r="U71" i="10" s="1"/>
  <c r="T48" i="10"/>
  <c r="S48" i="10"/>
  <c r="S62" i="10" s="1"/>
  <c r="S71" i="10" s="1"/>
  <c r="R48" i="10"/>
  <c r="R62" i="10" s="1"/>
  <c r="R71" i="10" s="1"/>
  <c r="Q48" i="10"/>
  <c r="Q62" i="10" s="1"/>
  <c r="Q71" i="10" s="1"/>
  <c r="P48" i="10"/>
  <c r="O48" i="10"/>
  <c r="O62" i="10" s="1"/>
  <c r="O71" i="10" s="1"/>
  <c r="N48" i="10"/>
  <c r="N62" i="10" s="1"/>
  <c r="N71" i="10" s="1"/>
  <c r="M48" i="10"/>
  <c r="M62" i="10" s="1"/>
  <c r="M71" i="10" s="1"/>
  <c r="L48" i="10"/>
  <c r="K48" i="10"/>
  <c r="K62" i="10" s="1"/>
  <c r="K71" i="10" s="1"/>
  <c r="J48" i="10"/>
  <c r="J62" i="10" s="1"/>
  <c r="J71" i="10" s="1"/>
  <c r="I48" i="10"/>
  <c r="I62" i="10" s="1"/>
  <c r="I71" i="10" s="1"/>
  <c r="H48" i="10"/>
  <c r="G48" i="10"/>
  <c r="G62" i="10" s="1"/>
  <c r="G71" i="10" s="1"/>
  <c r="F48" i="10"/>
  <c r="F62" i="10" s="1"/>
  <c r="F71" i="10" s="1"/>
  <c r="E48" i="10"/>
  <c r="E62" i="10" s="1"/>
  <c r="E71" i="10" s="1"/>
  <c r="D48" i="10"/>
  <c r="C48" i="10"/>
  <c r="C62" i="10" s="1"/>
  <c r="CE47" i="10"/>
  <c r="CC47" i="10"/>
  <c r="CC62" i="10" l="1"/>
  <c r="C674" i="10"/>
  <c r="C502" i="10"/>
  <c r="G502" i="10" s="1"/>
  <c r="C678" i="10"/>
  <c r="C506" i="10"/>
  <c r="G506" i="10" s="1"/>
  <c r="C514" i="10"/>
  <c r="G514" i="10" s="1"/>
  <c r="C686" i="10"/>
  <c r="C694" i="10"/>
  <c r="C522" i="10"/>
  <c r="C698" i="10"/>
  <c r="C526" i="10"/>
  <c r="G526" i="10" s="1"/>
  <c r="C706" i="10"/>
  <c r="C534" i="10"/>
  <c r="G534" i="10" s="1"/>
  <c r="C631" i="10"/>
  <c r="C542" i="10"/>
  <c r="C614" i="10"/>
  <c r="C550" i="10"/>
  <c r="G550" i="10" s="1"/>
  <c r="C634" i="10"/>
  <c r="C554" i="10"/>
  <c r="C639" i="10"/>
  <c r="C564" i="10"/>
  <c r="C671" i="10"/>
  <c r="C499" i="10"/>
  <c r="G499" i="10" s="1"/>
  <c r="C675" i="10"/>
  <c r="C503" i="10"/>
  <c r="G503" i="10" s="1"/>
  <c r="C683" i="10"/>
  <c r="C511" i="10"/>
  <c r="G511" i="10" s="1"/>
  <c r="C691" i="10"/>
  <c r="C519" i="10"/>
  <c r="G519" i="10" s="1"/>
  <c r="C699" i="10"/>
  <c r="C527" i="10"/>
  <c r="G527" i="10" s="1"/>
  <c r="C707" i="10"/>
  <c r="C535" i="10"/>
  <c r="G535" i="10" s="1"/>
  <c r="C711" i="10"/>
  <c r="C539" i="10"/>
  <c r="G539" i="10" s="1"/>
  <c r="C632" i="10"/>
  <c r="C547" i="10"/>
  <c r="C555" i="10"/>
  <c r="C617" i="10"/>
  <c r="C71" i="10"/>
  <c r="C672" i="10"/>
  <c r="C500" i="10"/>
  <c r="C676" i="10"/>
  <c r="C504" i="10"/>
  <c r="G504" i="10" s="1"/>
  <c r="C508" i="10"/>
  <c r="G508" i="10" s="1"/>
  <c r="C680" i="10"/>
  <c r="C684" i="10"/>
  <c r="C512" i="10"/>
  <c r="G512" i="10" s="1"/>
  <c r="C688" i="10"/>
  <c r="C516" i="10"/>
  <c r="G516" i="10" s="1"/>
  <c r="C692" i="10"/>
  <c r="C520" i="10"/>
  <c r="C696" i="10"/>
  <c r="C524" i="10"/>
  <c r="G524" i="10" s="1"/>
  <c r="C700" i="10"/>
  <c r="C528" i="10"/>
  <c r="G528" i="10" s="1"/>
  <c r="C704" i="10"/>
  <c r="C532" i="10"/>
  <c r="G532" i="10" s="1"/>
  <c r="C708" i="10"/>
  <c r="C536" i="10"/>
  <c r="G536" i="10" s="1"/>
  <c r="C712" i="10"/>
  <c r="C540" i="10"/>
  <c r="G540" i="10" s="1"/>
  <c r="C625" i="10"/>
  <c r="C544" i="10"/>
  <c r="G544" i="10" s="1"/>
  <c r="C633" i="10"/>
  <c r="C548" i="10"/>
  <c r="C552" i="10"/>
  <c r="C618" i="10"/>
  <c r="C635" i="10"/>
  <c r="C556" i="10"/>
  <c r="C567" i="10"/>
  <c r="C642" i="10"/>
  <c r="C647" i="10"/>
  <c r="C572" i="10"/>
  <c r="CE67" i="10"/>
  <c r="C433" i="10" s="1"/>
  <c r="C673" i="10"/>
  <c r="C501" i="10"/>
  <c r="G501" i="10" s="1"/>
  <c r="C563" i="10"/>
  <c r="C626" i="10"/>
  <c r="BW71" i="10"/>
  <c r="CC71" i="10"/>
  <c r="B445" i="10"/>
  <c r="D242" i="10"/>
  <c r="B448" i="10" s="1"/>
  <c r="C670" i="10"/>
  <c r="C498" i="10"/>
  <c r="G498" i="10" s="1"/>
  <c r="C682" i="10"/>
  <c r="C510" i="10"/>
  <c r="G510" i="10" s="1"/>
  <c r="C690" i="10"/>
  <c r="C518" i="10"/>
  <c r="G518" i="10" s="1"/>
  <c r="C702" i="10"/>
  <c r="C530" i="10"/>
  <c r="C710" i="10"/>
  <c r="C538" i="10"/>
  <c r="G538" i="10" s="1"/>
  <c r="C546" i="10"/>
  <c r="G546" i="10" s="1"/>
  <c r="C630" i="10"/>
  <c r="C559" i="10"/>
  <c r="C619" i="10"/>
  <c r="C679" i="10"/>
  <c r="C507" i="10"/>
  <c r="G507" i="10" s="1"/>
  <c r="C515" i="10"/>
  <c r="G515" i="10" s="1"/>
  <c r="C687" i="10"/>
  <c r="C695" i="10"/>
  <c r="C523" i="10"/>
  <c r="G523" i="10" s="1"/>
  <c r="C703" i="10"/>
  <c r="C531" i="10"/>
  <c r="G531" i="10" s="1"/>
  <c r="C543" i="10"/>
  <c r="C616" i="10"/>
  <c r="C551" i="10"/>
  <c r="C629" i="10"/>
  <c r="C627" i="10"/>
  <c r="C560" i="10"/>
  <c r="C571" i="10"/>
  <c r="C646" i="10"/>
  <c r="L71" i="10"/>
  <c r="X71" i="10"/>
  <c r="AF71" i="10"/>
  <c r="AR71" i="10"/>
  <c r="BH71" i="10"/>
  <c r="BT71" i="10"/>
  <c r="CB71" i="10"/>
  <c r="E204" i="10"/>
  <c r="C476" i="10" s="1"/>
  <c r="C473" i="10"/>
  <c r="D292" i="10"/>
  <c r="D341" i="10" s="1"/>
  <c r="C481" i="10" s="1"/>
  <c r="C427" i="10"/>
  <c r="D438" i="10"/>
  <c r="C465" i="10"/>
  <c r="H507" i="10"/>
  <c r="H533" i="10"/>
  <c r="T71" i="10"/>
  <c r="AJ71" i="10"/>
  <c r="AZ71" i="10"/>
  <c r="BL71" i="10"/>
  <c r="BX71" i="10"/>
  <c r="D67" i="10"/>
  <c r="D71" i="10" s="1"/>
  <c r="F544" i="10"/>
  <c r="P71" i="10"/>
  <c r="AB71" i="10"/>
  <c r="AN71" i="10"/>
  <c r="AV71" i="10"/>
  <c r="BD71" i="10"/>
  <c r="BP71" i="10"/>
  <c r="F612" i="10"/>
  <c r="C430" i="10"/>
  <c r="BM48" i="10"/>
  <c r="BM62" i="10" s="1"/>
  <c r="BM71" i="10" s="1"/>
  <c r="BQ48" i="10"/>
  <c r="BQ62" i="10" s="1"/>
  <c r="BQ71" i="10" s="1"/>
  <c r="BU48" i="10"/>
  <c r="BU62" i="10" s="1"/>
  <c r="BU71" i="10" s="1"/>
  <c r="BY48" i="10"/>
  <c r="BY62" i="10" s="1"/>
  <c r="BY71" i="10" s="1"/>
  <c r="C439" i="10"/>
  <c r="CE69" i="10"/>
  <c r="C440" i="10" s="1"/>
  <c r="D373" i="10"/>
  <c r="D391" i="10" s="1"/>
  <c r="D393" i="10" s="1"/>
  <c r="D396" i="10" s="1"/>
  <c r="F521" i="10"/>
  <c r="H539" i="10"/>
  <c r="H546" i="10"/>
  <c r="F499" i="10"/>
  <c r="F503" i="10"/>
  <c r="F509" i="10"/>
  <c r="H512" i="10"/>
  <c r="F519" i="10"/>
  <c r="F525" i="10"/>
  <c r="F535" i="10"/>
  <c r="H535" i="10" s="1"/>
  <c r="F546" i="10"/>
  <c r="H502" i="10"/>
  <c r="H506" i="10"/>
  <c r="H510" i="10"/>
  <c r="H514" i="10"/>
  <c r="H524" i="10"/>
  <c r="H528" i="10"/>
  <c r="H532" i="10"/>
  <c r="H536" i="10"/>
  <c r="H540" i="10"/>
  <c r="H550" i="10"/>
  <c r="C669" i="10" l="1"/>
  <c r="C497" i="10"/>
  <c r="G497" i="10" s="1"/>
  <c r="C645" i="10"/>
  <c r="C570" i="10"/>
  <c r="C624" i="10"/>
  <c r="C549" i="10"/>
  <c r="C681" i="10"/>
  <c r="C509" i="10"/>
  <c r="C685" i="10"/>
  <c r="C513" i="10"/>
  <c r="G513" i="10" s="1"/>
  <c r="C689" i="10"/>
  <c r="C517" i="10"/>
  <c r="CE62" i="10"/>
  <c r="D615" i="10"/>
  <c r="H518" i="10"/>
  <c r="C641" i="10"/>
  <c r="C566" i="10"/>
  <c r="C713" i="10"/>
  <c r="C541" i="10"/>
  <c r="C557" i="10"/>
  <c r="C637" i="10"/>
  <c r="CE48" i="10"/>
  <c r="C553" i="10"/>
  <c r="C636" i="10"/>
  <c r="C677" i="10"/>
  <c r="C505" i="10"/>
  <c r="G505" i="10" s="1"/>
  <c r="H500" i="10"/>
  <c r="G500" i="10"/>
  <c r="H498" i="10"/>
  <c r="C623" i="10"/>
  <c r="C562" i="10"/>
  <c r="C705" i="10"/>
  <c r="C533" i="10"/>
  <c r="G533" i="10" s="1"/>
  <c r="H531" i="10"/>
  <c r="C545" i="10"/>
  <c r="C628" i="10"/>
  <c r="C709" i="10"/>
  <c r="C537" i="10"/>
  <c r="G537" i="10" s="1"/>
  <c r="H544" i="10"/>
  <c r="H530" i="10"/>
  <c r="G530" i="10"/>
  <c r="C574" i="10"/>
  <c r="C620" i="10"/>
  <c r="C715" i="10" s="1"/>
  <c r="C569" i="10"/>
  <c r="C644" i="10"/>
  <c r="C565" i="10"/>
  <c r="C640" i="10"/>
  <c r="C638" i="10"/>
  <c r="C558" i="10"/>
  <c r="C561" i="10"/>
  <c r="C621" i="10"/>
  <c r="C693" i="10"/>
  <c r="C521" i="10"/>
  <c r="C701" i="10"/>
  <c r="C529" i="10"/>
  <c r="C573" i="10"/>
  <c r="C622" i="10"/>
  <c r="C697" i="10"/>
  <c r="C525" i="10"/>
  <c r="G525" i="10" s="1"/>
  <c r="H511" i="10"/>
  <c r="C643" i="10"/>
  <c r="C568" i="10"/>
  <c r="H520" i="10"/>
  <c r="G520" i="10"/>
  <c r="C668" i="10"/>
  <c r="C496" i="10"/>
  <c r="G496" i="10" s="1"/>
  <c r="H522" i="10"/>
  <c r="G522" i="10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712" i="10"/>
  <c r="D708" i="10"/>
  <c r="D704" i="10"/>
  <c r="D696" i="10"/>
  <c r="D688" i="10"/>
  <c r="D682" i="10"/>
  <c r="D678" i="10"/>
  <c r="D674" i="10"/>
  <c r="D670" i="10"/>
  <c r="D647" i="10"/>
  <c r="D646" i="10"/>
  <c r="D705" i="10"/>
  <c r="D701" i="10"/>
  <c r="D693" i="10"/>
  <c r="D683" i="10"/>
  <c r="D679" i="10"/>
  <c r="D675" i="10"/>
  <c r="D671" i="10"/>
  <c r="D709" i="10"/>
  <c r="D700" i="10"/>
  <c r="D692" i="10"/>
  <c r="D687" i="10"/>
  <c r="D684" i="10"/>
  <c r="D680" i="10"/>
  <c r="D676" i="10"/>
  <c r="D672" i="10"/>
  <c r="D668" i="10"/>
  <c r="D681" i="10"/>
  <c r="D645" i="10"/>
  <c r="D629" i="10"/>
  <c r="D626" i="10"/>
  <c r="D623" i="10"/>
  <c r="D621" i="10"/>
  <c r="D619" i="10"/>
  <c r="D617" i="10"/>
  <c r="D713" i="10"/>
  <c r="D68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E612" i="10" s="1"/>
  <c r="D689" i="10"/>
  <c r="D673" i="10"/>
  <c r="D628" i="10"/>
  <c r="D622" i="10"/>
  <c r="D620" i="10"/>
  <c r="D618" i="10"/>
  <c r="D616" i="10"/>
  <c r="D677" i="10"/>
  <c r="D697" i="10"/>
  <c r="D669" i="10"/>
  <c r="D627" i="10"/>
  <c r="G521" i="10"/>
  <c r="H521" i="10"/>
  <c r="C648" i="10"/>
  <c r="M716" i="10" s="1"/>
  <c r="G529" i="10"/>
  <c r="H529" i="10" s="1"/>
  <c r="C428" i="10"/>
  <c r="C441" i="10" s="1"/>
  <c r="CE71" i="10"/>
  <c r="C716" i="10" s="1"/>
  <c r="G517" i="10"/>
  <c r="H517" i="10"/>
  <c r="G509" i="10"/>
  <c r="H509" i="10"/>
  <c r="G545" i="10"/>
  <c r="H545" i="10" s="1"/>
  <c r="D715" i="10" l="1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3" i="10"/>
  <c r="E683" i="10"/>
  <c r="E679" i="10"/>
  <c r="E675" i="10"/>
  <c r="E671" i="10"/>
  <c r="E702" i="10"/>
  <c r="E698" i="10"/>
  <c r="E690" i="10"/>
  <c r="E684" i="10"/>
  <c r="E680" i="10"/>
  <c r="E676" i="10"/>
  <c r="E672" i="10"/>
  <c r="E706" i="10"/>
  <c r="E697" i="10"/>
  <c r="E689" i="10"/>
  <c r="E686" i="10"/>
  <c r="E685" i="10"/>
  <c r="E681" i="10"/>
  <c r="E677" i="10"/>
  <c r="E673" i="10"/>
  <c r="E669" i="10"/>
  <c r="E678" i="10"/>
  <c r="E668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2" i="10"/>
  <c r="E647" i="10"/>
  <c r="E646" i="10"/>
  <c r="E628" i="10"/>
  <c r="E670" i="10"/>
  <c r="E627" i="10"/>
  <c r="E710" i="10"/>
  <c r="E694" i="10"/>
  <c r="E645" i="10"/>
  <c r="E629" i="10"/>
  <c r="E626" i="10"/>
  <c r="E674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711" i="10"/>
  <c r="F698" i="10"/>
  <c r="F690" i="10"/>
  <c r="F684" i="10"/>
  <c r="F680" i="10"/>
  <c r="F676" i="10"/>
  <c r="F672" i="10"/>
  <c r="F668" i="10"/>
  <c r="F716" i="10"/>
  <c r="F695" i="10"/>
  <c r="F687" i="10"/>
  <c r="F686" i="10"/>
  <c r="F685" i="10"/>
  <c r="F681" i="10"/>
  <c r="F677" i="10"/>
  <c r="F673" i="10"/>
  <c r="F703" i="10"/>
  <c r="F694" i="10"/>
  <c r="F682" i="10"/>
  <c r="F678" i="10"/>
  <c r="F674" i="10"/>
  <c r="F670" i="10"/>
  <c r="F647" i="10"/>
  <c r="F646" i="10"/>
  <c r="F699" i="10"/>
  <c r="F675" i="10"/>
  <c r="F628" i="10"/>
  <c r="F707" i="10"/>
  <c r="F679" i="10"/>
  <c r="F627" i="10"/>
  <c r="F683" i="10"/>
  <c r="F669" i="10"/>
  <c r="F645" i="10"/>
  <c r="F629" i="10"/>
  <c r="F626" i="10"/>
  <c r="F643" i="10"/>
  <c r="F641" i="10"/>
  <c r="F639" i="10"/>
  <c r="F637" i="10"/>
  <c r="F635" i="10"/>
  <c r="F633" i="10"/>
  <c r="F631" i="10"/>
  <c r="F691" i="10"/>
  <c r="F671" i="10"/>
  <c r="F625" i="10"/>
  <c r="F644" i="10"/>
  <c r="F642" i="10"/>
  <c r="F640" i="10"/>
  <c r="F638" i="10"/>
  <c r="F636" i="10"/>
  <c r="F634" i="10"/>
  <c r="F632" i="10"/>
  <c r="F630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716" i="10"/>
  <c r="G711" i="10"/>
  <c r="G707" i="10"/>
  <c r="G703" i="10"/>
  <c r="G708" i="10"/>
  <c r="G695" i="10"/>
  <c r="G687" i="10"/>
  <c r="G686" i="10"/>
  <c r="G681" i="10"/>
  <c r="G677" i="10"/>
  <c r="G673" i="10"/>
  <c r="G669" i="10"/>
  <c r="G712" i="10"/>
  <c r="G700" i="10"/>
  <c r="G692" i="10"/>
  <c r="G682" i="10"/>
  <c r="G678" i="10"/>
  <c r="G674" i="10"/>
  <c r="G670" i="10"/>
  <c r="G699" i="10"/>
  <c r="G691" i="10"/>
  <c r="G683" i="10"/>
  <c r="G679" i="10"/>
  <c r="G675" i="10"/>
  <c r="G671" i="10"/>
  <c r="G696" i="10"/>
  <c r="G672" i="10"/>
  <c r="G647" i="10"/>
  <c r="G646" i="10"/>
  <c r="G627" i="10"/>
  <c r="G676" i="10"/>
  <c r="G645" i="10"/>
  <c r="G629" i="10"/>
  <c r="G626" i="10"/>
  <c r="G68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4" i="10"/>
  <c r="G668" i="10"/>
  <c r="G704" i="10"/>
  <c r="G628" i="10"/>
  <c r="H628" i="10" s="1"/>
  <c r="G688" i="10"/>
  <c r="G715" i="10" l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5" i="10"/>
  <c r="H700" i="10"/>
  <c r="H692" i="10"/>
  <c r="H685" i="10"/>
  <c r="H682" i="10"/>
  <c r="H678" i="10"/>
  <c r="H674" i="10"/>
  <c r="H670" i="10"/>
  <c r="H647" i="10"/>
  <c r="H646" i="10"/>
  <c r="H645" i="10"/>
  <c r="H709" i="10"/>
  <c r="H697" i="10"/>
  <c r="H689" i="10"/>
  <c r="H683" i="10"/>
  <c r="H679" i="10"/>
  <c r="H675" i="10"/>
  <c r="H671" i="10"/>
  <c r="H713" i="10"/>
  <c r="H696" i="10"/>
  <c r="H688" i="10"/>
  <c r="H684" i="10"/>
  <c r="H680" i="10"/>
  <c r="H676" i="10"/>
  <c r="H672" i="10"/>
  <c r="H668" i="10"/>
  <c r="H693" i="10"/>
  <c r="H629" i="10"/>
  <c r="H701" i="10"/>
  <c r="H673" i="10"/>
  <c r="H669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7" i="10"/>
  <c r="H681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702" i="10"/>
  <c r="I697" i="10"/>
  <c r="I689" i="10"/>
  <c r="I683" i="10"/>
  <c r="I679" i="10"/>
  <c r="I675" i="10"/>
  <c r="I671" i="10"/>
  <c r="I706" i="10"/>
  <c r="I694" i="10"/>
  <c r="I684" i="10"/>
  <c r="I680" i="10"/>
  <c r="I676" i="10"/>
  <c r="I672" i="10"/>
  <c r="I710" i="10"/>
  <c r="I693" i="10"/>
  <c r="I681" i="10"/>
  <c r="I677" i="10"/>
  <c r="I673" i="10"/>
  <c r="I669" i="10"/>
  <c r="I690" i="10"/>
  <c r="I685" i="10"/>
  <c r="I682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8" i="10"/>
  <c r="I670" i="10"/>
  <c r="I686" i="10"/>
  <c r="I674" i="10"/>
  <c r="I668" i="10"/>
  <c r="I678" i="10"/>
  <c r="I647" i="10"/>
  <c r="I646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716" i="10"/>
  <c r="J694" i="10"/>
  <c r="J684" i="10"/>
  <c r="J680" i="10"/>
  <c r="J676" i="10"/>
  <c r="J672" i="10"/>
  <c r="J668" i="10"/>
  <c r="J703" i="10"/>
  <c r="J699" i="10"/>
  <c r="J691" i="10"/>
  <c r="J681" i="10"/>
  <c r="J677" i="10"/>
  <c r="J673" i="10"/>
  <c r="J707" i="10"/>
  <c r="J698" i="10"/>
  <c r="J690" i="10"/>
  <c r="J686" i="10"/>
  <c r="J685" i="10"/>
  <c r="J682" i="10"/>
  <c r="J678" i="10"/>
  <c r="J674" i="10"/>
  <c r="J670" i="10"/>
  <c r="J647" i="10"/>
  <c r="L647" i="10" s="1"/>
  <c r="J646" i="10"/>
  <c r="J687" i="10"/>
  <c r="J679" i="10"/>
  <c r="J669" i="10"/>
  <c r="J695" i="10"/>
  <c r="J683" i="10"/>
  <c r="J711" i="10"/>
  <c r="J671" i="10"/>
  <c r="J644" i="10"/>
  <c r="J642" i="10"/>
  <c r="J640" i="10"/>
  <c r="J638" i="10"/>
  <c r="J636" i="10"/>
  <c r="J634" i="10"/>
  <c r="J632" i="10"/>
  <c r="J675" i="10"/>
  <c r="J639" i="10"/>
  <c r="J631" i="10"/>
  <c r="J645" i="10"/>
  <c r="J637" i="10"/>
  <c r="J643" i="10"/>
  <c r="J635" i="10"/>
  <c r="J641" i="10"/>
  <c r="J633" i="10"/>
  <c r="L710" i="10" l="1"/>
  <c r="L706" i="10"/>
  <c r="L702" i="10"/>
  <c r="L698" i="10"/>
  <c r="L694" i="10"/>
  <c r="L690" i="10"/>
  <c r="L686" i="10"/>
  <c r="L716" i="10"/>
  <c r="L711" i="10"/>
  <c r="L707" i="10"/>
  <c r="L703" i="10"/>
  <c r="L699" i="10"/>
  <c r="L695" i="10"/>
  <c r="L691" i="10"/>
  <c r="L687" i="10"/>
  <c r="L712" i="10"/>
  <c r="L708" i="10"/>
  <c r="L704" i="10"/>
  <c r="L709" i="10"/>
  <c r="L696" i="10"/>
  <c r="L688" i="10"/>
  <c r="L682" i="10"/>
  <c r="L678" i="10"/>
  <c r="L674" i="10"/>
  <c r="L670" i="10"/>
  <c r="L713" i="10"/>
  <c r="L693" i="10"/>
  <c r="L685" i="10"/>
  <c r="L683" i="10"/>
  <c r="L679" i="10"/>
  <c r="L675" i="10"/>
  <c r="L671" i="10"/>
  <c r="L701" i="10"/>
  <c r="L700" i="10"/>
  <c r="L692" i="10"/>
  <c r="L684" i="10"/>
  <c r="L680" i="10"/>
  <c r="L676" i="10"/>
  <c r="L672" i="10"/>
  <c r="L668" i="10"/>
  <c r="L673" i="10"/>
  <c r="L689" i="10"/>
  <c r="L677" i="10"/>
  <c r="L705" i="10"/>
  <c r="L697" i="10"/>
  <c r="L681" i="10"/>
  <c r="L669" i="10"/>
  <c r="J715" i="10"/>
  <c r="K644" i="10"/>
  <c r="M674" i="10" l="1"/>
  <c r="M672" i="10"/>
  <c r="M709" i="10"/>
  <c r="M687" i="10"/>
  <c r="M702" i="10"/>
  <c r="M681" i="10"/>
  <c r="M706" i="10"/>
  <c r="L715" i="10"/>
  <c r="M696" i="10"/>
  <c r="M699" i="10"/>
  <c r="M678" i="10"/>
  <c r="K713" i="10"/>
  <c r="M713" i="10" s="1"/>
  <c r="K709" i="10"/>
  <c r="K705" i="10"/>
  <c r="M705" i="10" s="1"/>
  <c r="K701" i="10"/>
  <c r="M701" i="10" s="1"/>
  <c r="K697" i="10"/>
  <c r="M697" i="10" s="1"/>
  <c r="K693" i="10"/>
  <c r="M693" i="10" s="1"/>
  <c r="K689" i="10"/>
  <c r="M689" i="10" s="1"/>
  <c r="K685" i="10"/>
  <c r="M685" i="10" s="1"/>
  <c r="K710" i="10"/>
  <c r="M710" i="10" s="1"/>
  <c r="K706" i="10"/>
  <c r="K702" i="10"/>
  <c r="K698" i="10"/>
  <c r="M698" i="10" s="1"/>
  <c r="K694" i="10"/>
  <c r="M694" i="10" s="1"/>
  <c r="K690" i="10"/>
  <c r="M690" i="10" s="1"/>
  <c r="K716" i="10"/>
  <c r="K711" i="10"/>
  <c r="K707" i="10"/>
  <c r="M707" i="10" s="1"/>
  <c r="K703" i="10"/>
  <c r="M703" i="10" s="1"/>
  <c r="K712" i="10"/>
  <c r="M712" i="10" s="1"/>
  <c r="K699" i="10"/>
  <c r="K691" i="10"/>
  <c r="M691" i="10" s="1"/>
  <c r="K681" i="10"/>
  <c r="K677" i="10"/>
  <c r="M677" i="10" s="1"/>
  <c r="K673" i="10"/>
  <c r="K669" i="10"/>
  <c r="M669" i="10" s="1"/>
  <c r="K696" i="10"/>
  <c r="K688" i="10"/>
  <c r="K686" i="10"/>
  <c r="M686" i="10" s="1"/>
  <c r="K682" i="10"/>
  <c r="M682" i="10" s="1"/>
  <c r="K678" i="10"/>
  <c r="K674" i="10"/>
  <c r="K670" i="10"/>
  <c r="K704" i="10"/>
  <c r="M704" i="10" s="1"/>
  <c r="K695" i="10"/>
  <c r="K687" i="10"/>
  <c r="K683" i="10"/>
  <c r="K679" i="10"/>
  <c r="M679" i="10" s="1"/>
  <c r="K675" i="10"/>
  <c r="M675" i="10" s="1"/>
  <c r="K671" i="10"/>
  <c r="M671" i="10" s="1"/>
  <c r="K708" i="10"/>
  <c r="M708" i="10" s="1"/>
  <c r="K676" i="10"/>
  <c r="M676" i="10" s="1"/>
  <c r="K692" i="10"/>
  <c r="M692" i="10" s="1"/>
  <c r="K680" i="10"/>
  <c r="K668" i="10"/>
  <c r="K700" i="10"/>
  <c r="M700" i="10" s="1"/>
  <c r="K684" i="10"/>
  <c r="M684" i="10" s="1"/>
  <c r="K672" i="10"/>
  <c r="M673" i="10"/>
  <c r="M680" i="10"/>
  <c r="M683" i="10"/>
  <c r="M670" i="10"/>
  <c r="M688" i="10"/>
  <c r="M695" i="10"/>
  <c r="M711" i="10"/>
  <c r="K715" i="10" l="1"/>
  <c r="M668" i="10"/>
  <c r="M715" i="10" s="1"/>
  <c r="F493" i="1" l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K814" i="10" s="1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F8" i="6" s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N766" i="1"/>
  <c r="N760" i="1"/>
  <c r="N743" i="1"/>
  <c r="N769" i="1"/>
  <c r="N758" i="1"/>
  <c r="N753" i="1"/>
  <c r="N747" i="1"/>
  <c r="C16" i="8"/>
  <c r="C469" i="1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CD722" i="1"/>
  <c r="CD71" i="1"/>
  <c r="R816" i="1"/>
  <c r="AO48" i="1"/>
  <c r="AO62" i="1" s="1"/>
  <c r="N765" i="1"/>
  <c r="N757" i="1"/>
  <c r="C615" i="1"/>
  <c r="V815" i="1"/>
  <c r="O816" i="1"/>
  <c r="E372" i="9"/>
  <c r="I380" i="9"/>
  <c r="P816" i="1"/>
  <c r="I372" i="9"/>
  <c r="M816" i="1"/>
  <c r="G612" i="1"/>
  <c r="CF77" i="1" l="1"/>
  <c r="Q816" i="1"/>
  <c r="G10" i="4"/>
  <c r="B10" i="4"/>
  <c r="D13" i="7"/>
  <c r="C473" i="1"/>
  <c r="C27" i="5"/>
  <c r="C141" i="8"/>
  <c r="C119" i="8"/>
  <c r="B465" i="1"/>
  <c r="D368" i="1"/>
  <c r="C120" i="8" s="1"/>
  <c r="C112" i="8"/>
  <c r="D330" i="1"/>
  <c r="C86" i="8" s="1"/>
  <c r="C33" i="8"/>
  <c r="B476" i="1"/>
  <c r="C434" i="1"/>
  <c r="K816" i="1"/>
  <c r="C430" i="1"/>
  <c r="I366" i="9"/>
  <c r="G816" i="1"/>
  <c r="F815" i="1"/>
  <c r="AR48" i="1"/>
  <c r="AR62" i="1" s="1"/>
  <c r="I172" i="9" s="1"/>
  <c r="BX48" i="1"/>
  <c r="BX62" i="1" s="1"/>
  <c r="E807" i="1" s="1"/>
  <c r="Z48" i="1"/>
  <c r="Z62" i="1" s="1"/>
  <c r="E757" i="1" s="1"/>
  <c r="BJ48" i="1"/>
  <c r="BJ62" i="1" s="1"/>
  <c r="F268" i="9" s="1"/>
  <c r="AY48" i="1"/>
  <c r="AY62" i="1" s="1"/>
  <c r="E782" i="1" s="1"/>
  <c r="BA48" i="1"/>
  <c r="BA62" i="1" s="1"/>
  <c r="BI48" i="1"/>
  <c r="BI62" i="1" s="1"/>
  <c r="E268" i="9" s="1"/>
  <c r="N48" i="1"/>
  <c r="N62" i="1" s="1"/>
  <c r="G44" i="9" s="1"/>
  <c r="AJ48" i="1"/>
  <c r="AJ62" i="1" s="1"/>
  <c r="E767" i="1" s="1"/>
  <c r="BB48" i="1"/>
  <c r="BB62" i="1" s="1"/>
  <c r="E236" i="9" s="1"/>
  <c r="BP48" i="1"/>
  <c r="BP62" i="1" s="1"/>
  <c r="CC48" i="1"/>
  <c r="CC62" i="1" s="1"/>
  <c r="E812" i="1" s="1"/>
  <c r="BU48" i="1"/>
  <c r="BU62" i="1" s="1"/>
  <c r="AE48" i="1"/>
  <c r="AE62" i="1" s="1"/>
  <c r="D815" i="1"/>
  <c r="F48" i="1"/>
  <c r="F62" i="1" s="1"/>
  <c r="E737" i="1" s="1"/>
  <c r="V48" i="1"/>
  <c r="V62" i="1" s="1"/>
  <c r="AF48" i="1"/>
  <c r="AF62" i="1" s="1"/>
  <c r="E763" i="1" s="1"/>
  <c r="AN48" i="1"/>
  <c r="AN62" i="1" s="1"/>
  <c r="E172" i="9" s="1"/>
  <c r="AV48" i="1"/>
  <c r="AV62" i="1" s="1"/>
  <c r="BF48" i="1"/>
  <c r="BF62" i="1" s="1"/>
  <c r="BL48" i="1"/>
  <c r="BL62" i="1" s="1"/>
  <c r="BT48" i="1"/>
  <c r="BT62" i="1" s="1"/>
  <c r="E803" i="1" s="1"/>
  <c r="CA48" i="1"/>
  <c r="CA62" i="1" s="1"/>
  <c r="I332" i="9" s="1"/>
  <c r="AA48" i="1"/>
  <c r="AA62" i="1" s="1"/>
  <c r="F108" i="9" s="1"/>
  <c r="BO48" i="1"/>
  <c r="BO62" i="1" s="1"/>
  <c r="E798" i="1" s="1"/>
  <c r="Q48" i="1"/>
  <c r="Q62" i="1" s="1"/>
  <c r="BE48" i="1"/>
  <c r="BE62" i="1" s="1"/>
  <c r="H236" i="9" s="1"/>
  <c r="U48" i="1"/>
  <c r="U62" i="1" s="1"/>
  <c r="G76" i="9" s="1"/>
  <c r="O48" i="1"/>
  <c r="O62" i="1" s="1"/>
  <c r="H44" i="9" s="1"/>
  <c r="AU48" i="1"/>
  <c r="AU62" i="1" s="1"/>
  <c r="D48" i="1"/>
  <c r="D62" i="1" s="1"/>
  <c r="D12" i="9" s="1"/>
  <c r="D816" i="1"/>
  <c r="AS48" i="1"/>
  <c r="AS62" i="1" s="1"/>
  <c r="J48" i="1"/>
  <c r="J62" i="1" s="1"/>
  <c r="R48" i="1"/>
  <c r="R62" i="1" s="1"/>
  <c r="E749" i="1" s="1"/>
  <c r="AD48" i="1"/>
  <c r="AD62" i="1" s="1"/>
  <c r="I108" i="9" s="1"/>
  <c r="AH48" i="1"/>
  <c r="AH62" i="1" s="1"/>
  <c r="AL48" i="1"/>
  <c r="AL62" i="1" s="1"/>
  <c r="E769" i="1" s="1"/>
  <c r="AP48" i="1"/>
  <c r="AP62" i="1" s="1"/>
  <c r="E773" i="1" s="1"/>
  <c r="AT48" i="1"/>
  <c r="AT62" i="1" s="1"/>
  <c r="D204" i="9" s="1"/>
  <c r="AX48" i="1"/>
  <c r="AX62" i="1" s="1"/>
  <c r="E781" i="1" s="1"/>
  <c r="AZ48" i="1"/>
  <c r="AZ62" i="1" s="1"/>
  <c r="BD48" i="1"/>
  <c r="BD62" i="1" s="1"/>
  <c r="BH48" i="1"/>
  <c r="BH62" i="1" s="1"/>
  <c r="BN48" i="1"/>
  <c r="BN62" i="1" s="1"/>
  <c r="BR48" i="1"/>
  <c r="BR62" i="1" s="1"/>
  <c r="G300" i="9" s="1"/>
  <c r="BV48" i="1"/>
  <c r="BV62" i="1" s="1"/>
  <c r="E805" i="1" s="1"/>
  <c r="BY48" i="1"/>
  <c r="BY62" i="1" s="1"/>
  <c r="E808" i="1" s="1"/>
  <c r="C48" i="1"/>
  <c r="C62" i="1" s="1"/>
  <c r="K48" i="1"/>
  <c r="K62" i="1" s="1"/>
  <c r="AI48" i="1"/>
  <c r="AI62" i="1" s="1"/>
  <c r="E766" i="1" s="1"/>
  <c r="BG48" i="1"/>
  <c r="BG62" i="1" s="1"/>
  <c r="BW48" i="1"/>
  <c r="BW62" i="1" s="1"/>
  <c r="I48" i="1"/>
  <c r="I62" i="1" s="1"/>
  <c r="E740" i="1" s="1"/>
  <c r="AG48" i="1"/>
  <c r="AG62" i="1" s="1"/>
  <c r="E140" i="9" s="1"/>
  <c r="AW48" i="1"/>
  <c r="AW62" i="1" s="1"/>
  <c r="BM48" i="1"/>
  <c r="BM62" i="1" s="1"/>
  <c r="I268" i="9" s="1"/>
  <c r="E48" i="1"/>
  <c r="E62" i="1" s="1"/>
  <c r="E736" i="1" s="1"/>
  <c r="AK48" i="1"/>
  <c r="AK62" i="1" s="1"/>
  <c r="I140" i="9" s="1"/>
  <c r="BQ48" i="1"/>
  <c r="BQ62" i="1" s="1"/>
  <c r="BS48" i="1"/>
  <c r="BS62" i="1" s="1"/>
  <c r="L48" i="1"/>
  <c r="L62" i="1" s="1"/>
  <c r="AB48" i="1"/>
  <c r="AB62" i="1" s="1"/>
  <c r="G108" i="9" s="1"/>
  <c r="C12" i="9"/>
  <c r="D186" i="9"/>
  <c r="T814" i="10"/>
  <c r="H814" i="10"/>
  <c r="R814" i="10"/>
  <c r="P814" i="10"/>
  <c r="F814" i="10"/>
  <c r="E373" i="9"/>
  <c r="C575" i="1"/>
  <c r="E752" i="10"/>
  <c r="C14" i="5"/>
  <c r="D428" i="1"/>
  <c r="D612" i="1"/>
  <c r="CF76" i="1"/>
  <c r="H52" i="1" s="1"/>
  <c r="H67" i="1" s="1"/>
  <c r="BP52" i="1"/>
  <c r="BP67" i="1" s="1"/>
  <c r="J799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E795" i="10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BD52" i="1"/>
  <c r="BD67" i="1" s="1"/>
  <c r="BF52" i="1"/>
  <c r="BF67" i="1" s="1"/>
  <c r="F52" i="1"/>
  <c r="F67" i="1" s="1"/>
  <c r="F71" i="1" s="1"/>
  <c r="F21" i="9" s="1"/>
  <c r="AY52" i="1"/>
  <c r="AY67" i="1" s="1"/>
  <c r="CB52" i="1"/>
  <c r="CB67" i="1" s="1"/>
  <c r="T52" i="1"/>
  <c r="T67" i="1" s="1"/>
  <c r="M52" i="1"/>
  <c r="M67" i="1" s="1"/>
  <c r="BV52" i="1"/>
  <c r="BV67" i="1" s="1"/>
  <c r="AA52" i="1"/>
  <c r="AA67" i="1" s="1"/>
  <c r="AX52" i="1"/>
  <c r="AX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339" i="1" l="1"/>
  <c r="G52" i="1"/>
  <c r="G67" i="1" s="1"/>
  <c r="G71" i="1" s="1"/>
  <c r="C500" i="1" s="1"/>
  <c r="G500" i="1" s="1"/>
  <c r="BE52" i="1"/>
  <c r="BE67" i="1" s="1"/>
  <c r="D52" i="1"/>
  <c r="D67" i="1" s="1"/>
  <c r="D17" i="9" s="1"/>
  <c r="AK52" i="1"/>
  <c r="AK67" i="1" s="1"/>
  <c r="BN52" i="1"/>
  <c r="BN67" i="1" s="1"/>
  <c r="C305" i="9" s="1"/>
  <c r="AW52" i="1"/>
  <c r="AW67" i="1" s="1"/>
  <c r="BM52" i="1"/>
  <c r="BM67" i="1" s="1"/>
  <c r="J796" i="1" s="1"/>
  <c r="BY52" i="1"/>
  <c r="BY67" i="1" s="1"/>
  <c r="BQ52" i="1"/>
  <c r="BQ67" i="1" s="1"/>
  <c r="F305" i="9" s="1"/>
  <c r="AM52" i="1"/>
  <c r="AM67" i="1" s="1"/>
  <c r="E305" i="9"/>
  <c r="AF52" i="1"/>
  <c r="AF67" i="1" s="1"/>
  <c r="BX52" i="1"/>
  <c r="BX67" i="1" s="1"/>
  <c r="F337" i="9" s="1"/>
  <c r="P52" i="1"/>
  <c r="P67" i="1" s="1"/>
  <c r="AN52" i="1"/>
  <c r="AN67" i="1" s="1"/>
  <c r="J771" i="1" s="1"/>
  <c r="BT52" i="1"/>
  <c r="BT67" i="1" s="1"/>
  <c r="BD71" i="1"/>
  <c r="J52" i="1"/>
  <c r="J67" i="1" s="1"/>
  <c r="J71" i="1" s="1"/>
  <c r="AJ52" i="1"/>
  <c r="AJ67" i="1" s="1"/>
  <c r="AG52" i="1"/>
  <c r="AG67" i="1" s="1"/>
  <c r="AB52" i="1"/>
  <c r="AB67" i="1" s="1"/>
  <c r="G113" i="9" s="1"/>
  <c r="AH52" i="1"/>
  <c r="AH67" i="1" s="1"/>
  <c r="F145" i="9" s="1"/>
  <c r="V52" i="1"/>
  <c r="V67" i="1" s="1"/>
  <c r="J753" i="1" s="1"/>
  <c r="BO52" i="1"/>
  <c r="BO67" i="1" s="1"/>
  <c r="BO71" i="1" s="1"/>
  <c r="C627" i="1" s="1"/>
  <c r="BF71" i="1"/>
  <c r="I245" i="9" s="1"/>
  <c r="V71" i="1"/>
  <c r="BP71" i="1"/>
  <c r="C621" i="1" s="1"/>
  <c r="E753" i="1"/>
  <c r="C76" i="9"/>
  <c r="I204" i="9"/>
  <c r="E789" i="1"/>
  <c r="C140" i="9"/>
  <c r="E204" i="9"/>
  <c r="AY71" i="1"/>
  <c r="I213" i="9" s="1"/>
  <c r="I236" i="9"/>
  <c r="H76" i="9"/>
  <c r="AJ71" i="1"/>
  <c r="C701" i="1" s="1"/>
  <c r="E108" i="9"/>
  <c r="E775" i="1"/>
  <c r="E792" i="1"/>
  <c r="D108" i="9"/>
  <c r="E801" i="1"/>
  <c r="E793" i="1"/>
  <c r="F332" i="9"/>
  <c r="E761" i="1"/>
  <c r="C44" i="9"/>
  <c r="E332" i="9"/>
  <c r="E791" i="1"/>
  <c r="E752" i="1"/>
  <c r="I300" i="9"/>
  <c r="C332" i="9"/>
  <c r="E744" i="1"/>
  <c r="E745" i="1"/>
  <c r="E765" i="1"/>
  <c r="E784" i="1"/>
  <c r="BX71" i="1"/>
  <c r="C644" i="1" s="1"/>
  <c r="E785" i="1"/>
  <c r="D236" i="9"/>
  <c r="I12" i="9"/>
  <c r="E804" i="1"/>
  <c r="E799" i="1"/>
  <c r="E300" i="9"/>
  <c r="D364" i="9"/>
  <c r="E778" i="1"/>
  <c r="E758" i="1"/>
  <c r="AA71" i="1"/>
  <c r="C692" i="1" s="1"/>
  <c r="BV71" i="1"/>
  <c r="D341" i="9" s="1"/>
  <c r="G172" i="9"/>
  <c r="C300" i="9"/>
  <c r="E748" i="1"/>
  <c r="H140" i="9"/>
  <c r="E771" i="1"/>
  <c r="E762" i="1"/>
  <c r="E806" i="1"/>
  <c r="G140" i="9"/>
  <c r="G332" i="9"/>
  <c r="E777" i="1"/>
  <c r="E735" i="1"/>
  <c r="E796" i="1"/>
  <c r="AG71" i="1"/>
  <c r="C698" i="1" s="1"/>
  <c r="E779" i="1"/>
  <c r="BM71" i="1"/>
  <c r="AX71" i="1"/>
  <c r="C543" i="1" s="1"/>
  <c r="D332" i="9"/>
  <c r="E797" i="1"/>
  <c r="F140" i="9"/>
  <c r="D300" i="9"/>
  <c r="H268" i="9"/>
  <c r="F204" i="9"/>
  <c r="AF71" i="1"/>
  <c r="C697" i="1" s="1"/>
  <c r="BE71" i="1"/>
  <c r="E776" i="1"/>
  <c r="E746" i="1"/>
  <c r="C671" i="1"/>
  <c r="F12" i="9"/>
  <c r="C499" i="1"/>
  <c r="G499" i="1" s="1"/>
  <c r="H204" i="9"/>
  <c r="D71" i="1"/>
  <c r="C669" i="1" s="1"/>
  <c r="E795" i="1"/>
  <c r="H245" i="9"/>
  <c r="E764" i="1"/>
  <c r="E810" i="1"/>
  <c r="D140" i="9"/>
  <c r="C204" i="9"/>
  <c r="E788" i="1"/>
  <c r="H172" i="9"/>
  <c r="E12" i="9"/>
  <c r="E811" i="1"/>
  <c r="BR71" i="1"/>
  <c r="G309" i="9" s="1"/>
  <c r="C172" i="9"/>
  <c r="BY71" i="1"/>
  <c r="C570" i="1" s="1"/>
  <c r="AB71" i="1"/>
  <c r="G117" i="9" s="1"/>
  <c r="E742" i="1"/>
  <c r="D268" i="9"/>
  <c r="F300" i="9"/>
  <c r="E800" i="1"/>
  <c r="BQ71" i="1"/>
  <c r="E780" i="1"/>
  <c r="AW71" i="1"/>
  <c r="C268" i="9"/>
  <c r="E790" i="1"/>
  <c r="C236" i="9"/>
  <c r="E783" i="1"/>
  <c r="E756" i="1"/>
  <c r="G204" i="9"/>
  <c r="M71" i="1"/>
  <c r="C506" i="1" s="1"/>
  <c r="G506" i="1" s="1"/>
  <c r="E759" i="1"/>
  <c r="D44" i="9"/>
  <c r="E741" i="1"/>
  <c r="E743" i="1"/>
  <c r="E44" i="9"/>
  <c r="E802" i="1"/>
  <c r="H300" i="9"/>
  <c r="E768" i="1"/>
  <c r="AK71" i="1"/>
  <c r="E734" i="1"/>
  <c r="G236" i="9"/>
  <c r="E787" i="1"/>
  <c r="D76" i="9"/>
  <c r="H62" i="1"/>
  <c r="H12" i="9" s="1"/>
  <c r="CE48" i="1"/>
  <c r="F76" i="9"/>
  <c r="E751" i="1"/>
  <c r="T71" i="1"/>
  <c r="C549" i="1"/>
  <c r="G245" i="9"/>
  <c r="C624" i="1"/>
  <c r="I49" i="9"/>
  <c r="J747" i="1"/>
  <c r="J798" i="1"/>
  <c r="H17" i="9"/>
  <c r="J739" i="1"/>
  <c r="J765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C686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C632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D213" i="9" s="1"/>
  <c r="E760" i="1"/>
  <c r="F236" i="9"/>
  <c r="E786" i="1"/>
  <c r="I44" i="9"/>
  <c r="E747" i="1"/>
  <c r="P71" i="1"/>
  <c r="G268" i="9"/>
  <c r="E794" i="1"/>
  <c r="H145" i="9"/>
  <c r="J767" i="1"/>
  <c r="J807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BI52" i="1"/>
  <c r="BI67" i="1" s="1"/>
  <c r="BI71" i="1" s="1"/>
  <c r="K52" i="1"/>
  <c r="K67" i="1" s="1"/>
  <c r="K71" i="1" s="1"/>
  <c r="D465" i="1"/>
  <c r="AC71" i="1"/>
  <c r="C522" i="1" s="1"/>
  <c r="G522" i="1" s="1"/>
  <c r="H81" i="9"/>
  <c r="CB71" i="1"/>
  <c r="C373" i="9" s="1"/>
  <c r="F505" i="1"/>
  <c r="H505" i="1"/>
  <c r="F499" i="1"/>
  <c r="H499" i="1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I273" i="9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44" i="1"/>
  <c r="H536" i="1"/>
  <c r="F536" i="1"/>
  <c r="F528" i="1"/>
  <c r="H528" i="1"/>
  <c r="F520" i="1"/>
  <c r="Z815" i="10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97" i="1"/>
  <c r="J748" i="10"/>
  <c r="J763" i="10"/>
  <c r="J795" i="10"/>
  <c r="C102" i="8"/>
  <c r="C482" i="1"/>
  <c r="C687" i="1"/>
  <c r="C515" i="1"/>
  <c r="G515" i="1" s="1"/>
  <c r="H85" i="9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I85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G21" i="9"/>
  <c r="C629" i="1"/>
  <c r="E782" i="10"/>
  <c r="E806" i="10"/>
  <c r="F516" i="1"/>
  <c r="H516" i="1"/>
  <c r="J735" i="1"/>
  <c r="J800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3" i="1" l="1"/>
  <c r="G503" i="1" s="1"/>
  <c r="C53" i="9"/>
  <c r="C675" i="1"/>
  <c r="E309" i="9"/>
  <c r="C561" i="1"/>
  <c r="BN71" i="1"/>
  <c r="C551" i="1"/>
  <c r="C688" i="1"/>
  <c r="G17" i="9"/>
  <c r="E177" i="9"/>
  <c r="D305" i="9"/>
  <c r="AN71" i="1"/>
  <c r="C705" i="1" s="1"/>
  <c r="C637" i="1"/>
  <c r="H277" i="9"/>
  <c r="C557" i="1"/>
  <c r="C636" i="1"/>
  <c r="D277" i="9"/>
  <c r="C553" i="1"/>
  <c r="C676" i="1"/>
  <c r="C504" i="1"/>
  <c r="G504" i="1" s="1"/>
  <c r="D53" i="9"/>
  <c r="C568" i="1"/>
  <c r="E341" i="9"/>
  <c r="C643" i="1"/>
  <c r="C546" i="1"/>
  <c r="G546" i="1" s="1"/>
  <c r="C630" i="1"/>
  <c r="D245" i="9"/>
  <c r="D117" i="9"/>
  <c r="C518" i="1"/>
  <c r="G518" i="1" s="1"/>
  <c r="C690" i="1"/>
  <c r="E213" i="9"/>
  <c r="C712" i="1"/>
  <c r="C540" i="1"/>
  <c r="G540" i="1" s="1"/>
  <c r="C524" i="1"/>
  <c r="C149" i="9"/>
  <c r="C696" i="1"/>
  <c r="C554" i="1"/>
  <c r="E277" i="9"/>
  <c r="C634" i="1"/>
  <c r="C682" i="1"/>
  <c r="C510" i="1"/>
  <c r="G510" i="1" s="1"/>
  <c r="C85" i="9"/>
  <c r="C641" i="1"/>
  <c r="C341" i="9"/>
  <c r="C566" i="1"/>
  <c r="C564" i="1"/>
  <c r="C639" i="1"/>
  <c r="H309" i="9"/>
  <c r="C713" i="1"/>
  <c r="C541" i="1"/>
  <c r="F213" i="9"/>
  <c r="C677" i="1"/>
  <c r="E53" i="9"/>
  <c r="C505" i="1"/>
  <c r="G505" i="1" s="1"/>
  <c r="C519" i="1"/>
  <c r="G519" i="1" s="1"/>
  <c r="C691" i="1"/>
  <c r="C117" i="9"/>
  <c r="C517" i="1"/>
  <c r="G517" i="1" s="1"/>
  <c r="C689" i="1"/>
  <c r="F181" i="9"/>
  <c r="C534" i="1"/>
  <c r="G534" i="1" s="1"/>
  <c r="C706" i="1"/>
  <c r="C709" i="1"/>
  <c r="C537" i="1"/>
  <c r="G537" i="1" s="1"/>
  <c r="E145" i="9"/>
  <c r="J764" i="1"/>
  <c r="C49" i="9"/>
  <c r="J741" i="1"/>
  <c r="J803" i="1"/>
  <c r="BT71" i="1"/>
  <c r="I305" i="9"/>
  <c r="AH71" i="1"/>
  <c r="E117" i="9"/>
  <c r="C625" i="1"/>
  <c r="C620" i="1"/>
  <c r="C529" i="1"/>
  <c r="G529" i="1" s="1"/>
  <c r="E245" i="9"/>
  <c r="D373" i="9"/>
  <c r="H149" i="9"/>
  <c r="E181" i="9"/>
  <c r="C533" i="1"/>
  <c r="G533" i="1" s="1"/>
  <c r="C544" i="1"/>
  <c r="G544" i="1" s="1"/>
  <c r="C508" i="1"/>
  <c r="G508" i="1" s="1"/>
  <c r="F117" i="9"/>
  <c r="D309" i="9"/>
  <c r="E739" i="1"/>
  <c r="E815" i="1" s="1"/>
  <c r="H213" i="9"/>
  <c r="C703" i="1"/>
  <c r="C645" i="1"/>
  <c r="C642" i="1"/>
  <c r="C626" i="1"/>
  <c r="F53" i="9"/>
  <c r="C707" i="1"/>
  <c r="C498" i="1"/>
  <c r="G498" i="1" s="1"/>
  <c r="F277" i="9"/>
  <c r="C555" i="1"/>
  <c r="C711" i="1"/>
  <c r="C547" i="1"/>
  <c r="I117" i="9"/>
  <c r="H53" i="9"/>
  <c r="C708" i="1"/>
  <c r="C520" i="1"/>
  <c r="G520" i="1" s="1"/>
  <c r="C560" i="1"/>
  <c r="C531" i="1"/>
  <c r="G531" i="1" s="1"/>
  <c r="C693" i="1"/>
  <c r="C679" i="1"/>
  <c r="C528" i="1"/>
  <c r="G528" i="1" s="1"/>
  <c r="C497" i="1"/>
  <c r="G497" i="1" s="1"/>
  <c r="D149" i="9"/>
  <c r="C572" i="1"/>
  <c r="F341" i="9"/>
  <c r="G53" i="9"/>
  <c r="G341" i="9"/>
  <c r="C567" i="1"/>
  <c r="C563" i="1"/>
  <c r="C670" i="1"/>
  <c r="C616" i="1"/>
  <c r="C694" i="1"/>
  <c r="D21" i="9"/>
  <c r="C647" i="1"/>
  <c r="C526" i="1"/>
  <c r="G526" i="1" s="1"/>
  <c r="C569" i="1"/>
  <c r="C678" i="1"/>
  <c r="G181" i="9"/>
  <c r="C573" i="1"/>
  <c r="C700" i="1"/>
  <c r="C521" i="1"/>
  <c r="G521" i="1" s="1"/>
  <c r="E149" i="9"/>
  <c r="C523" i="1"/>
  <c r="G523" i="1" s="1"/>
  <c r="C622" i="1"/>
  <c r="C539" i="1"/>
  <c r="G539" i="1" s="1"/>
  <c r="C536" i="1"/>
  <c r="G536" i="1" s="1"/>
  <c r="C674" i="1"/>
  <c r="C628" i="1"/>
  <c r="G85" i="9"/>
  <c r="C514" i="1"/>
  <c r="G514" i="1" s="1"/>
  <c r="C638" i="1"/>
  <c r="C558" i="1"/>
  <c r="I277" i="9"/>
  <c r="C614" i="1"/>
  <c r="C550" i="1"/>
  <c r="H117" i="9"/>
  <c r="C525" i="1"/>
  <c r="G525" i="1" s="1"/>
  <c r="C710" i="1"/>
  <c r="C213" i="9"/>
  <c r="C538" i="1"/>
  <c r="G538" i="1" s="1"/>
  <c r="I21" i="9"/>
  <c r="C545" i="1"/>
  <c r="G545" i="1" s="1"/>
  <c r="C277" i="9"/>
  <c r="C552" i="1"/>
  <c r="C618" i="1"/>
  <c r="G213" i="9"/>
  <c r="C631" i="1"/>
  <c r="C542" i="1"/>
  <c r="C623" i="1"/>
  <c r="F309" i="9"/>
  <c r="C562" i="1"/>
  <c r="C511" i="1"/>
  <c r="C683" i="1"/>
  <c r="D85" i="9"/>
  <c r="C530" i="1"/>
  <c r="G530" i="1" s="1"/>
  <c r="C702" i="1"/>
  <c r="I149" i="9"/>
  <c r="CE62" i="1"/>
  <c r="H71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F530" i="1"/>
  <c r="F512" i="1"/>
  <c r="F526" i="1"/>
  <c r="H526" i="1"/>
  <c r="F503" i="1"/>
  <c r="H503" i="1"/>
  <c r="H508" i="1"/>
  <c r="F508" i="1"/>
  <c r="F514" i="1"/>
  <c r="H507" i="1"/>
  <c r="F507" i="1"/>
  <c r="H518" i="1"/>
  <c r="F518" i="1"/>
  <c r="H546" i="1"/>
  <c r="F546" i="1"/>
  <c r="F506" i="1"/>
  <c r="H506" i="1"/>
  <c r="H500" i="1"/>
  <c r="F500" i="1"/>
  <c r="F509" i="1"/>
  <c r="C309" i="9" l="1"/>
  <c r="C559" i="1"/>
  <c r="C619" i="1"/>
  <c r="C668" i="1"/>
  <c r="C496" i="1"/>
  <c r="G496" i="1" s="1"/>
  <c r="C699" i="1"/>
  <c r="C527" i="1"/>
  <c r="G527" i="1" s="1"/>
  <c r="F149" i="9"/>
  <c r="C640" i="1"/>
  <c r="C565" i="1"/>
  <c r="I309" i="9"/>
  <c r="G524" i="1"/>
  <c r="H524" i="1" s="1"/>
  <c r="H520" i="1"/>
  <c r="H498" i="1"/>
  <c r="H530" i="1"/>
  <c r="H512" i="1"/>
  <c r="H509" i="1"/>
  <c r="H513" i="1"/>
  <c r="H514" i="1"/>
  <c r="G550" i="1"/>
  <c r="H550" i="1"/>
  <c r="C648" i="1"/>
  <c r="M716" i="1" s="1"/>
  <c r="Y816" i="1" s="1"/>
  <c r="D615" i="1"/>
  <c r="G511" i="1"/>
  <c r="H511" i="1"/>
  <c r="C501" i="1"/>
  <c r="G501" i="1" s="1"/>
  <c r="C673" i="1"/>
  <c r="C715" i="1" s="1"/>
  <c r="H21" i="9"/>
  <c r="I364" i="9"/>
  <c r="E816" i="1"/>
  <c r="C428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672" i="1" l="1"/>
  <c r="D684" i="1"/>
  <c r="D710" i="1"/>
  <c r="D632" i="1"/>
  <c r="D626" i="1"/>
  <c r="D642" i="1"/>
  <c r="D668" i="1"/>
  <c r="D617" i="1"/>
  <c r="D641" i="1"/>
  <c r="D674" i="1"/>
  <c r="D680" i="1"/>
  <c r="D697" i="1"/>
  <c r="D633" i="1"/>
  <c r="D716" i="1"/>
  <c r="D643" i="1"/>
  <c r="D685" i="1"/>
  <c r="D646" i="1"/>
  <c r="D709" i="1"/>
  <c r="D619" i="1"/>
  <c r="D690" i="1"/>
  <c r="D708" i="1"/>
  <c r="D636" i="1"/>
  <c r="D695" i="1"/>
  <c r="D707" i="1"/>
  <c r="D688" i="1"/>
  <c r="D702" i="1"/>
  <c r="D683" i="1"/>
  <c r="D637" i="1"/>
  <c r="D679" i="1"/>
  <c r="D713" i="1"/>
  <c r="D624" i="1"/>
  <c r="D694" i="1"/>
  <c r="D693" i="1"/>
  <c r="D698" i="1"/>
  <c r="D625" i="1"/>
  <c r="D647" i="1"/>
  <c r="D618" i="1"/>
  <c r="D616" i="1"/>
  <c r="D681" i="1"/>
  <c r="D635" i="1"/>
  <c r="D687" i="1"/>
  <c r="D629" i="1"/>
  <c r="D671" i="1"/>
  <c r="D692" i="1"/>
  <c r="D620" i="1"/>
  <c r="D645" i="1"/>
  <c r="D634" i="1"/>
  <c r="D622" i="1"/>
  <c r="D669" i="1"/>
  <c r="D704" i="1"/>
  <c r="D700" i="1"/>
  <c r="D691" i="1"/>
  <c r="D639" i="1"/>
  <c r="D703" i="1"/>
  <c r="D623" i="1"/>
  <c r="D673" i="1"/>
  <c r="D670" i="1"/>
  <c r="D686" i="1"/>
  <c r="D677" i="1"/>
  <c r="D705" i="1"/>
  <c r="D699" i="1"/>
  <c r="D640" i="1"/>
  <c r="D711" i="1"/>
  <c r="D675" i="1"/>
  <c r="D689" i="1"/>
  <c r="D631" i="1"/>
  <c r="D630" i="1"/>
  <c r="D701" i="1"/>
  <c r="D678" i="1"/>
  <c r="D682" i="1"/>
  <c r="D696" i="1"/>
  <c r="D644" i="1"/>
  <c r="D638" i="1"/>
  <c r="D628" i="1"/>
  <c r="D627" i="1"/>
  <c r="D621" i="1"/>
  <c r="D712" i="1"/>
  <c r="D706" i="1"/>
  <c r="D676" i="1"/>
  <c r="C716" i="1"/>
  <c r="I373" i="9"/>
  <c r="C433" i="1"/>
  <c r="C441" i="1" s="1"/>
  <c r="J816" i="1"/>
  <c r="I369" i="9"/>
  <c r="J815" i="10"/>
  <c r="E612" i="1" l="1"/>
  <c r="E671" i="1" s="1"/>
  <c r="E623" i="1"/>
  <c r="D715" i="1"/>
  <c r="E716" i="1" l="1"/>
  <c r="E637" i="1"/>
  <c r="E673" i="1"/>
  <c r="E628" i="1"/>
  <c r="E699" i="1"/>
  <c r="E629" i="1"/>
  <c r="E684" i="1"/>
  <c r="E702" i="1"/>
  <c r="E680" i="1"/>
  <c r="E677" i="1"/>
  <c r="E709" i="1"/>
  <c r="E707" i="1"/>
  <c r="E639" i="1"/>
  <c r="E689" i="1"/>
  <c r="E681" i="1"/>
  <c r="E697" i="1"/>
  <c r="E645" i="1"/>
  <c r="E630" i="1"/>
  <c r="E711" i="1"/>
  <c r="E643" i="1"/>
  <c r="E627" i="1"/>
  <c r="E636" i="1"/>
  <c r="E668" i="1"/>
  <c r="E670" i="1"/>
  <c r="E690" i="1"/>
  <c r="E634" i="1"/>
  <c r="E675" i="1"/>
  <c r="E696" i="1"/>
  <c r="E704" i="1"/>
  <c r="E713" i="1"/>
  <c r="E687" i="1"/>
  <c r="E647" i="1"/>
  <c r="E674" i="1"/>
  <c r="E626" i="1"/>
  <c r="E700" i="1"/>
  <c r="E693" i="1"/>
  <c r="E694" i="1"/>
  <c r="E644" i="1"/>
  <c r="E635" i="1"/>
  <c r="E679" i="1"/>
  <c r="E640" i="1"/>
  <c r="E672" i="1"/>
  <c r="E638" i="1"/>
  <c r="E632" i="1"/>
  <c r="E633" i="1"/>
  <c r="E712" i="1"/>
  <c r="E646" i="1"/>
  <c r="E625" i="1"/>
  <c r="E669" i="1"/>
  <c r="E705" i="1"/>
  <c r="E631" i="1"/>
  <c r="E678" i="1"/>
  <c r="E701" i="1"/>
  <c r="E642" i="1"/>
  <c r="E624" i="1"/>
  <c r="E695" i="1"/>
  <c r="E703" i="1"/>
  <c r="E692" i="1"/>
  <c r="E708" i="1"/>
  <c r="E682" i="1"/>
  <c r="E685" i="1"/>
  <c r="E691" i="1"/>
  <c r="E686" i="1"/>
  <c r="E676" i="1"/>
  <c r="E698" i="1"/>
  <c r="E641" i="1"/>
  <c r="E683" i="1"/>
  <c r="E706" i="1"/>
  <c r="E688" i="1"/>
  <c r="E710" i="1"/>
  <c r="E715" i="1" l="1"/>
  <c r="F624" i="1"/>
  <c r="F632" i="1" l="1"/>
  <c r="F631" i="1"/>
  <c r="F641" i="1"/>
  <c r="F687" i="1"/>
  <c r="F693" i="1"/>
  <c r="F696" i="1"/>
  <c r="F629" i="1"/>
  <c r="F640" i="1"/>
  <c r="F642" i="1"/>
  <c r="F646" i="1"/>
  <c r="F626" i="1"/>
  <c r="F645" i="1"/>
  <c r="F672" i="1"/>
  <c r="F695" i="1"/>
  <c r="F637" i="1"/>
  <c r="F706" i="1"/>
  <c r="F644" i="1"/>
  <c r="F691" i="1"/>
  <c r="F678" i="1"/>
  <c r="F636" i="1"/>
  <c r="F707" i="1"/>
  <c r="F689" i="1"/>
  <c r="F671" i="1"/>
  <c r="F675" i="1"/>
  <c r="F688" i="1"/>
  <c r="F711" i="1"/>
  <c r="F708" i="1"/>
  <c r="F634" i="1"/>
  <c r="F679" i="1"/>
  <c r="F676" i="1"/>
  <c r="F682" i="1"/>
  <c r="F704" i="1"/>
  <c r="F630" i="1"/>
  <c r="F627" i="1"/>
  <c r="F692" i="1"/>
  <c r="F700" i="1"/>
  <c r="F712" i="1"/>
  <c r="F674" i="1"/>
  <c r="F701" i="1"/>
  <c r="F713" i="1"/>
  <c r="F633" i="1"/>
  <c r="F709" i="1"/>
  <c r="F686" i="1"/>
  <c r="F683" i="1"/>
  <c r="F638" i="1"/>
  <c r="F710" i="1"/>
  <c r="F639" i="1"/>
  <c r="F670" i="1"/>
  <c r="F635" i="1"/>
  <c r="F684" i="1"/>
  <c r="F673" i="1"/>
  <c r="F697" i="1"/>
  <c r="F705" i="1"/>
  <c r="F668" i="1"/>
  <c r="F685" i="1"/>
  <c r="F628" i="1"/>
  <c r="F716" i="1"/>
  <c r="F694" i="1"/>
  <c r="F677" i="1"/>
  <c r="F690" i="1"/>
  <c r="F625" i="1"/>
  <c r="F698" i="1"/>
  <c r="F643" i="1"/>
  <c r="F647" i="1"/>
  <c r="F681" i="1"/>
  <c r="F702" i="1"/>
  <c r="F680" i="1"/>
  <c r="F669" i="1"/>
  <c r="F703" i="1"/>
  <c r="F699" i="1"/>
  <c r="F715" i="1" l="1"/>
  <c r="G625" i="1"/>
  <c r="G628" i="1" l="1"/>
  <c r="G669" i="1"/>
  <c r="G638" i="1"/>
  <c r="G645" i="1"/>
  <c r="G644" i="1"/>
  <c r="G634" i="1"/>
  <c r="G646" i="1"/>
  <c r="G695" i="1"/>
  <c r="G711" i="1"/>
  <c r="G627" i="1"/>
  <c r="G701" i="1"/>
  <c r="G703" i="1"/>
  <c r="G631" i="1"/>
  <c r="G698" i="1"/>
  <c r="G670" i="1"/>
  <c r="G680" i="1"/>
  <c r="G679" i="1"/>
  <c r="G672" i="1"/>
  <c r="G681" i="1"/>
  <c r="G694" i="1"/>
  <c r="G629" i="1"/>
  <c r="G682" i="1"/>
  <c r="G671" i="1"/>
  <c r="G700" i="1"/>
  <c r="G686" i="1"/>
  <c r="G687" i="1"/>
  <c r="G705" i="1"/>
  <c r="G639" i="1"/>
  <c r="G632" i="1"/>
  <c r="G709" i="1"/>
  <c r="G696" i="1"/>
  <c r="G676" i="1"/>
  <c r="G674" i="1"/>
  <c r="G707" i="1"/>
  <c r="G689" i="1"/>
  <c r="G640" i="1"/>
  <c r="G626" i="1"/>
  <c r="G702" i="1"/>
  <c r="G706" i="1"/>
  <c r="G636" i="1"/>
  <c r="G710" i="1"/>
  <c r="G690" i="1"/>
  <c r="G688" i="1"/>
  <c r="G683" i="1"/>
  <c r="G677" i="1"/>
  <c r="G692" i="1"/>
  <c r="G673" i="1"/>
  <c r="G691" i="1"/>
  <c r="G630" i="1"/>
  <c r="G693" i="1"/>
  <c r="G642" i="1"/>
  <c r="G712" i="1"/>
  <c r="G699" i="1"/>
  <c r="G708" i="1"/>
  <c r="G697" i="1"/>
  <c r="G641" i="1"/>
  <c r="G633" i="1"/>
  <c r="G643" i="1"/>
  <c r="G716" i="1"/>
  <c r="G713" i="1"/>
  <c r="G685" i="1"/>
  <c r="G635" i="1"/>
  <c r="G678" i="1"/>
  <c r="G704" i="1"/>
  <c r="G637" i="1"/>
  <c r="G675" i="1"/>
  <c r="G684" i="1"/>
  <c r="G668" i="1"/>
  <c r="G647" i="1"/>
  <c r="G715" i="1" l="1"/>
  <c r="H628" i="1"/>
  <c r="H684" i="1" l="1"/>
  <c r="H641" i="1"/>
  <c r="H631" i="1"/>
  <c r="H671" i="1"/>
  <c r="H711" i="1"/>
  <c r="H642" i="1"/>
  <c r="H710" i="1"/>
  <c r="H687" i="1"/>
  <c r="H697" i="1"/>
  <c r="H630" i="1"/>
  <c r="H702" i="1"/>
  <c r="H639" i="1"/>
  <c r="H713" i="1"/>
  <c r="H688" i="1"/>
  <c r="H696" i="1"/>
  <c r="H691" i="1"/>
  <c r="H674" i="1"/>
  <c r="H694" i="1"/>
  <c r="H672" i="1"/>
  <c r="H677" i="1"/>
  <c r="H700" i="1"/>
  <c r="H640" i="1"/>
  <c r="H646" i="1"/>
  <c r="H668" i="1"/>
  <c r="H676" i="1"/>
  <c r="H632" i="1"/>
  <c r="H686" i="1"/>
  <c r="H679" i="1"/>
  <c r="H706" i="1"/>
  <c r="H703" i="1"/>
  <c r="H689" i="1"/>
  <c r="H638" i="1"/>
  <c r="H634" i="1"/>
  <c r="H682" i="1"/>
  <c r="H685" i="1"/>
  <c r="H647" i="1"/>
  <c r="H698" i="1"/>
  <c r="H675" i="1"/>
  <c r="H707" i="1"/>
  <c r="H680" i="1"/>
  <c r="H636" i="1"/>
  <c r="H633" i="1"/>
  <c r="H712" i="1"/>
  <c r="H683" i="1"/>
  <c r="H669" i="1"/>
  <c r="H716" i="1"/>
  <c r="H692" i="1"/>
  <c r="H693" i="1"/>
  <c r="H708" i="1"/>
  <c r="H681" i="1"/>
  <c r="H678" i="1"/>
  <c r="H643" i="1"/>
  <c r="H645" i="1"/>
  <c r="H673" i="1"/>
  <c r="H709" i="1"/>
  <c r="H635" i="1"/>
  <c r="H644" i="1"/>
  <c r="H704" i="1"/>
  <c r="H695" i="1"/>
  <c r="H629" i="1"/>
  <c r="H637" i="1"/>
  <c r="H670" i="1"/>
  <c r="H690" i="1"/>
  <c r="H701" i="1"/>
  <c r="H705" i="1"/>
  <c r="H699" i="1"/>
  <c r="H715" i="1" l="1"/>
  <c r="I629" i="1"/>
  <c r="I635" i="1" l="1"/>
  <c r="I636" i="1"/>
  <c r="I668" i="1"/>
  <c r="I669" i="1"/>
  <c r="I696" i="1"/>
  <c r="I716" i="1"/>
  <c r="I703" i="1"/>
  <c r="I705" i="1"/>
  <c r="I644" i="1"/>
  <c r="I677" i="1"/>
  <c r="I682" i="1"/>
  <c r="I674" i="1"/>
  <c r="I680" i="1"/>
  <c r="I683" i="1"/>
  <c r="I687" i="1"/>
  <c r="I689" i="1"/>
  <c r="I695" i="1"/>
  <c r="I697" i="1"/>
  <c r="I710" i="1"/>
  <c r="I641" i="1"/>
  <c r="I713" i="1"/>
  <c r="I704" i="1"/>
  <c r="I671" i="1"/>
  <c r="I694" i="1"/>
  <c r="I643" i="1"/>
  <c r="I712" i="1"/>
  <c r="I706" i="1"/>
  <c r="I702" i="1"/>
  <c r="I678" i="1"/>
  <c r="I708" i="1"/>
  <c r="I707" i="1"/>
  <c r="I673" i="1"/>
  <c r="I645" i="1"/>
  <c r="I646" i="1"/>
  <c r="I637" i="1"/>
  <c r="I700" i="1"/>
  <c r="I670" i="1"/>
  <c r="I685" i="1"/>
  <c r="I692" i="1"/>
  <c r="I699" i="1"/>
  <c r="I642" i="1"/>
  <c r="I675" i="1"/>
  <c r="I647" i="1"/>
  <c r="I691" i="1"/>
  <c r="I681" i="1"/>
  <c r="I690" i="1"/>
  <c r="I676" i="1"/>
  <c r="I688" i="1"/>
  <c r="I684" i="1"/>
  <c r="I686" i="1"/>
  <c r="I672" i="1"/>
  <c r="I698" i="1"/>
  <c r="I711" i="1"/>
  <c r="I639" i="1"/>
  <c r="I640" i="1"/>
  <c r="I701" i="1"/>
  <c r="I693" i="1"/>
  <c r="I631" i="1"/>
  <c r="I709" i="1"/>
  <c r="I679" i="1"/>
  <c r="I634" i="1"/>
  <c r="I638" i="1"/>
  <c r="I630" i="1"/>
  <c r="I632" i="1"/>
  <c r="I633" i="1"/>
  <c r="I715" i="1" l="1"/>
  <c r="J630" i="1"/>
  <c r="J637" i="1" l="1"/>
  <c r="J695" i="1"/>
  <c r="J692" i="1"/>
  <c r="J674" i="1"/>
  <c r="J689" i="1"/>
  <c r="J636" i="1"/>
  <c r="J631" i="1"/>
  <c r="J632" i="1"/>
  <c r="J642" i="1"/>
  <c r="J687" i="1"/>
  <c r="J673" i="1"/>
  <c r="J672" i="1"/>
  <c r="J668" i="1"/>
  <c r="J706" i="1"/>
  <c r="J680" i="1"/>
  <c r="J696" i="1"/>
  <c r="J643" i="1"/>
  <c r="J641" i="1"/>
  <c r="J679" i="1"/>
  <c r="J681" i="1"/>
  <c r="J647" i="1"/>
  <c r="J693" i="1"/>
  <c r="J669" i="1"/>
  <c r="J682" i="1"/>
  <c r="J709" i="1"/>
  <c r="J716" i="1"/>
  <c r="J697" i="1"/>
  <c r="J705" i="1"/>
  <c r="J694" i="1"/>
  <c r="J678" i="1"/>
  <c r="J683" i="1"/>
  <c r="J701" i="1"/>
  <c r="J677" i="1"/>
  <c r="J676" i="1"/>
  <c r="J711" i="1"/>
  <c r="J634" i="1"/>
  <c r="J633" i="1"/>
  <c r="J702" i="1"/>
  <c r="J698" i="1"/>
  <c r="J670" i="1"/>
  <c r="J635" i="1"/>
  <c r="J688" i="1"/>
  <c r="J638" i="1"/>
  <c r="J691" i="1"/>
  <c r="J671" i="1"/>
  <c r="J675" i="1"/>
  <c r="J712" i="1"/>
  <c r="J639" i="1"/>
  <c r="J645" i="1"/>
  <c r="J703" i="1"/>
  <c r="J684" i="1"/>
  <c r="J640" i="1"/>
  <c r="J685" i="1"/>
  <c r="J646" i="1"/>
  <c r="J644" i="1"/>
  <c r="J699" i="1"/>
  <c r="J713" i="1"/>
  <c r="J710" i="1"/>
  <c r="J707" i="1"/>
  <c r="J700" i="1"/>
  <c r="J690" i="1"/>
  <c r="J686" i="1"/>
  <c r="J704" i="1"/>
  <c r="J708" i="1"/>
  <c r="K644" i="1" l="1"/>
  <c r="J715" i="1"/>
  <c r="L647" i="1"/>
  <c r="L700" i="1" s="1"/>
  <c r="K716" i="1"/>
  <c r="K677" i="1"/>
  <c r="K698" i="1"/>
  <c r="K676" i="1"/>
  <c r="K709" i="1"/>
  <c r="K706" i="1"/>
  <c r="K685" i="1"/>
  <c r="K682" i="1"/>
  <c r="K669" i="1"/>
  <c r="K675" i="1"/>
  <c r="K684" i="1"/>
  <c r="K704" i="1"/>
  <c r="K687" i="1"/>
  <c r="K681" i="1"/>
  <c r="K694" i="1"/>
  <c r="K708" i="1"/>
  <c r="K699" i="1"/>
  <c r="K713" i="1"/>
  <c r="K700" i="1"/>
  <c r="K703" i="1"/>
  <c r="K711" i="1"/>
  <c r="K679" i="1"/>
  <c r="K672" i="1"/>
  <c r="K668" i="1"/>
  <c r="K693" i="1"/>
  <c r="K689" i="1"/>
  <c r="K696" i="1"/>
  <c r="K671" i="1"/>
  <c r="K673" i="1"/>
  <c r="K701" i="1"/>
  <c r="K692" i="1"/>
  <c r="K691" i="1"/>
  <c r="K712" i="1"/>
  <c r="K702" i="1"/>
  <c r="K686" i="1"/>
  <c r="K695" i="1"/>
  <c r="K678" i="1"/>
  <c r="K683" i="1"/>
  <c r="K674" i="1"/>
  <c r="K697" i="1"/>
  <c r="K707" i="1"/>
  <c r="K710" i="1"/>
  <c r="K690" i="1"/>
  <c r="K705" i="1"/>
  <c r="K680" i="1"/>
  <c r="K688" i="1"/>
  <c r="K670" i="1"/>
  <c r="L672" i="1"/>
  <c r="L704" i="1"/>
  <c r="M704" i="1" s="1"/>
  <c r="L684" i="1"/>
  <c r="L712" i="1"/>
  <c r="M712" i="1" s="1"/>
  <c r="L711" i="1"/>
  <c r="L683" i="1"/>
  <c r="L691" i="1"/>
  <c r="M691" i="1" s="1"/>
  <c r="L710" i="1"/>
  <c r="L688" i="1"/>
  <c r="M688" i="1" s="1"/>
  <c r="L708" i="1"/>
  <c r="M708" i="1" s="1"/>
  <c r="L681" i="1"/>
  <c r="M681" i="1" s="1"/>
  <c r="L701" i="1"/>
  <c r="M701" i="1" s="1"/>
  <c r="M711" i="1" l="1"/>
  <c r="M684" i="1"/>
  <c r="M710" i="1"/>
  <c r="M683" i="1"/>
  <c r="M672" i="1"/>
  <c r="K715" i="1"/>
  <c r="M700" i="1"/>
  <c r="L685" i="1"/>
  <c r="M685" i="1" s="1"/>
  <c r="F87" i="9" s="1"/>
  <c r="L696" i="1"/>
  <c r="M696" i="1" s="1"/>
  <c r="C151" i="9" s="1"/>
  <c r="L671" i="1"/>
  <c r="M671" i="1" s="1"/>
  <c r="F23" i="9" s="1"/>
  <c r="L716" i="1"/>
  <c r="L689" i="1"/>
  <c r="M689" i="1" s="1"/>
  <c r="Y755" i="1" s="1"/>
  <c r="L678" i="1"/>
  <c r="M678" i="1" s="1"/>
  <c r="F55" i="9" s="1"/>
  <c r="L669" i="1"/>
  <c r="M669" i="1" s="1"/>
  <c r="D23" i="9" s="1"/>
  <c r="L679" i="1"/>
  <c r="M679" i="1" s="1"/>
  <c r="G55" i="9" s="1"/>
  <c r="L676" i="1"/>
  <c r="M676" i="1" s="1"/>
  <c r="D55" i="9" s="1"/>
  <c r="L682" i="1"/>
  <c r="M682" i="1" s="1"/>
  <c r="C87" i="9" s="1"/>
  <c r="L690" i="1"/>
  <c r="M690" i="1" s="1"/>
  <c r="Y756" i="1" s="1"/>
  <c r="L703" i="1"/>
  <c r="M703" i="1" s="1"/>
  <c r="C183" i="9" s="1"/>
  <c r="L686" i="1"/>
  <c r="M686" i="1" s="1"/>
  <c r="G87" i="9" s="1"/>
  <c r="L706" i="1"/>
  <c r="M706" i="1" s="1"/>
  <c r="F183" i="9" s="1"/>
  <c r="L697" i="1"/>
  <c r="M697" i="1" s="1"/>
  <c r="Y763" i="1" s="1"/>
  <c r="L687" i="1"/>
  <c r="M687" i="1" s="1"/>
  <c r="H87" i="9" s="1"/>
  <c r="L677" i="1"/>
  <c r="M677" i="1" s="1"/>
  <c r="Y743" i="1" s="1"/>
  <c r="L705" i="1"/>
  <c r="M705" i="1" s="1"/>
  <c r="E183" i="9" s="1"/>
  <c r="L702" i="1"/>
  <c r="M702" i="1" s="1"/>
  <c r="Y768" i="1" s="1"/>
  <c r="L709" i="1"/>
  <c r="M709" i="1" s="1"/>
  <c r="I183" i="9" s="1"/>
  <c r="L675" i="1"/>
  <c r="M675" i="1" s="1"/>
  <c r="Y741" i="1" s="1"/>
  <c r="L680" i="1"/>
  <c r="M680" i="1" s="1"/>
  <c r="Y746" i="1" s="1"/>
  <c r="L693" i="1"/>
  <c r="M693" i="1" s="1"/>
  <c r="Y759" i="1" s="1"/>
  <c r="L713" i="1"/>
  <c r="M713" i="1" s="1"/>
  <c r="Y779" i="1" s="1"/>
  <c r="L670" i="1"/>
  <c r="M670" i="1" s="1"/>
  <c r="Y736" i="1" s="1"/>
  <c r="L695" i="1"/>
  <c r="M695" i="1" s="1"/>
  <c r="I119" i="9" s="1"/>
  <c r="L673" i="1"/>
  <c r="M673" i="1" s="1"/>
  <c r="H23" i="9" s="1"/>
  <c r="L674" i="1"/>
  <c r="M674" i="1" s="1"/>
  <c r="Y740" i="1" s="1"/>
  <c r="L692" i="1"/>
  <c r="M692" i="1" s="1"/>
  <c r="Y758" i="1" s="1"/>
  <c r="L668" i="1"/>
  <c r="M668" i="1" s="1"/>
  <c r="L694" i="1"/>
  <c r="M694" i="1" s="1"/>
  <c r="Y760" i="1" s="1"/>
  <c r="L698" i="1"/>
  <c r="M698" i="1" s="1"/>
  <c r="Y764" i="1" s="1"/>
  <c r="L699" i="1"/>
  <c r="M699" i="1" s="1"/>
  <c r="Y765" i="1" s="1"/>
  <c r="L707" i="1"/>
  <c r="M707" i="1" s="1"/>
  <c r="Y773" i="1" s="1"/>
  <c r="Y751" i="1"/>
  <c r="H151" i="9"/>
  <c r="Y767" i="1"/>
  <c r="Y762" i="1"/>
  <c r="I55" i="9"/>
  <c r="Y747" i="1"/>
  <c r="Y737" i="1"/>
  <c r="H183" i="9"/>
  <c r="Y774" i="1"/>
  <c r="Y754" i="1"/>
  <c r="I87" i="9"/>
  <c r="C215" i="9"/>
  <c r="Y776" i="1"/>
  <c r="Y744" i="1"/>
  <c r="E119" i="9"/>
  <c r="Y757" i="1"/>
  <c r="D87" i="9"/>
  <c r="Y749" i="1"/>
  <c r="Y745" i="1"/>
  <c r="D215" i="9"/>
  <c r="Y777" i="1"/>
  <c r="E215" i="9"/>
  <c r="Y778" i="1"/>
  <c r="Y748" i="1"/>
  <c r="E87" i="9"/>
  <c r="Y750" i="1"/>
  <c r="Y770" i="1"/>
  <c r="D183" i="9"/>
  <c r="Y769" i="1"/>
  <c r="Y738" i="1"/>
  <c r="G23" i="9"/>
  <c r="Y772" i="1"/>
  <c r="Y753" i="1"/>
  <c r="Y771" i="1"/>
  <c r="Y775" i="1"/>
  <c r="H55" i="9"/>
  <c r="Y761" i="1"/>
  <c r="E151" i="9"/>
  <c r="Y766" i="1"/>
  <c r="G151" i="9"/>
  <c r="L715" i="1" l="1"/>
  <c r="G183" i="9"/>
  <c r="I23" i="9"/>
  <c r="F215" i="9"/>
  <c r="D119" i="9"/>
  <c r="Y742" i="1"/>
  <c r="Y735" i="1"/>
  <c r="C119" i="9"/>
  <c r="E23" i="9"/>
  <c r="G119" i="9"/>
  <c r="C55" i="9"/>
  <c r="I151" i="9"/>
  <c r="E55" i="9"/>
  <c r="D151" i="9"/>
  <c r="Y752" i="1"/>
  <c r="F151" i="9"/>
  <c r="F119" i="9"/>
  <c r="H119" i="9"/>
  <c r="Y739" i="1"/>
  <c r="C23" i="9"/>
  <c r="Y734" i="1"/>
  <c r="M715" i="1"/>
  <c r="Y815" i="1" l="1"/>
</calcChain>
</file>

<file path=xl/sharedStrings.xml><?xml version="1.0" encoding="utf-8"?>
<sst xmlns="http://schemas.openxmlformats.org/spreadsheetml/2006/main" count="4922" uniqueCount="1280">
  <si>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</si>
  <si>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</si>
  <si>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</si>
  <si>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</si>
  <si>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</si>
  <si>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</si>
  <si>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</si>
  <si>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</si>
  <si>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</si>
  <si>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</si>
  <si>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</si>
  <si>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</si>
  <si>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</si>
  <si>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</si>
  <si>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</si>
  <si>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</si>
  <si>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</si>
  <si>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</si>
  <si>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</si>
  <si>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</si>
  <si>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</si>
  <si>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</si>
  <si>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</si>
  <si>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</si>
  <si>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</si>
  <si>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</si>
  <si>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</si>
  <si>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</si>
  <si>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</si>
  <si>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</si>
  <si>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</si>
  <si>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</si>
  <si>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</si>
  <si>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</si>
  <si>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</si>
  <si>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</si>
  <si>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</si>
  <si>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</si>
  <si>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</si>
  <si>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</si>
  <si>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</si>
  <si>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</si>
  <si>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</si>
  <si>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</si>
  <si>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</si>
  <si>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</si>
  <si>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</si>
  <si>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</si>
  <si>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</si>
  <si>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</si>
  <si>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</si>
  <si>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</si>
  <si>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</si>
  <si>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</si>
  <si>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</si>
  <si>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</si>
  <si>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</si>
  <si>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</si>
  <si>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</si>
  <si>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</si>
  <si>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</si>
  <si>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</si>
  <si>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</si>
  <si>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</si>
  <si>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</si>
  <si>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</si>
  <si>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</si>
  <si>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</si>
  <si>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</si>
  <si>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</si>
  <si>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</si>
  <si>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</si>
  <si>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</si>
  <si>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</si>
  <si>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</si>
  <si>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</si>
  <si>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</si>
  <si>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</si>
  <si>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</si>
  <si>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</si>
  <si>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</si>
  <si>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</si>
  <si>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</si>
  <si>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</si>
  <si>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</si>
  <si>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</si>
  <si>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</si>
  <si>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</si>
  <si>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</si>
  <si>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</si>
  <si>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</si>
  <si>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</si>
  <si>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</si>
  <si>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</si>
  <si>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</si>
  <si>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</si>
  <si>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</si>
  <si>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</si>
  <si>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</si>
  <si>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</si>
  <si>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</si>
  <si>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</si>
  <si>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</si>
  <si>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</si>
  <si>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</si>
  <si>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</si>
  <si>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</si>
  <si>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</si>
  <si>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</si>
  <si>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</si>
  <si>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</si>
  <si>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</si>
  <si>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</si>
  <si>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</si>
  <si>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</si>
  <si>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</si>
  <si>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</si>
  <si>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</si>
  <si>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</si>
  <si>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</si>
  <si>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</si>
  <si>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</si>
  <si>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</si>
  <si>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</si>
  <si>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</si>
  <si>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</si>
  <si>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</si>
  <si>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</si>
  <si>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</si>
  <si>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</si>
  <si>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</si>
  <si>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</si>
  <si>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</si>
  <si>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</si>
  <si>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</si>
  <si>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</si>
  <si>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</si>
  <si>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</si>
  <si>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</si>
  <si>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</si>
  <si>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</si>
  <si>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</si>
  <si>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</si>
  <si>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</si>
  <si>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</si>
  <si>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</si>
  <si>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</si>
  <si>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</si>
  <si>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</si>
  <si>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</si>
  <si>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</si>
  <si>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</si>
  <si>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</si>
  <si>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</si>
  <si>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</si>
  <si>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</si>
  <si>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</si>
  <si>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</si>
  <si>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</si>
  <si>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</si>
  <si>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</si>
  <si>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</si>
  <si>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</si>
  <si>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</si>
  <si>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</si>
  <si>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</si>
  <si>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</si>
  <si>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</si>
  <si>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</si>
  <si>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</si>
  <si>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</si>
  <si>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</si>
  <si>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</si>
  <si>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</si>
  <si>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</si>
  <si>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</si>
  <si>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</si>
  <si>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</si>
  <si>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</si>
  <si>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</si>
  <si>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</si>
  <si>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</si>
  <si>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</si>
  <si>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</si>
  <si>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</si>
  <si>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</si>
  <si>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</si>
  <si>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</si>
  <si>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</si>
  <si>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</si>
  <si>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</si>
  <si>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</si>
  <si>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</si>
  <si>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</si>
  <si>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</si>
  <si>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</si>
  <si>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</si>
  <si>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</si>
  <si>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</si>
  <si>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</si>
  <si>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</si>
  <si>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</si>
  <si>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</si>
  <si>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</si>
  <si>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</si>
  <si>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</si>
  <si>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</si>
  <si>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</si>
  <si>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</si>
  <si>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</si>
  <si>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</si>
  <si>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</si>
  <si>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</si>
  <si>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</si>
  <si>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</si>
  <si>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</si>
  <si>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</si>
  <si>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</si>
  <si>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</si>
  <si>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</si>
  <si>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</si>
  <si>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</si>
  <si>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</si>
  <si>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</si>
  <si>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</si>
  <si>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</si>
  <si>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</si>
  <si>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</si>
  <si>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</si>
  <si>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</si>
  <si>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</si>
  <si>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</si>
  <si>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</si>
  <si>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</si>
  <si>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</si>
  <si>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</si>
  <si>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</si>
  <si>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</si>
  <si>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</si>
  <si>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</si>
  <si>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</si>
  <si>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</si>
  <si>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</si>
  <si>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</si>
  <si>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</si>
  <si>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</si>
  <si>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</si>
  <si>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</si>
  <si>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</si>
  <si>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</si>
  <si>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</si>
  <si>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</si>
  <si>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</si>
  <si>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</si>
  <si>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</si>
  <si>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</si>
  <si>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</si>
  <si>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</si>
  <si>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</si>
  <si>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</si>
  <si>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</si>
  <si>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</si>
  <si>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</si>
  <si>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</si>
  <si>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</si>
  <si>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</si>
  <si>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</si>
  <si>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</si>
  <si>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</si>
  <si>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</si>
  <si>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</si>
  <si>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</si>
  <si>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</si>
  <si>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</si>
  <si>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</si>
  <si>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</si>
  <si>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</si>
  <si>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</si>
  <si>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</si>
  <si>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</si>
  <si>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</si>
  <si>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</si>
  <si>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</si>
  <si>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</si>
  <si>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</si>
  <si>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</si>
  <si>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</si>
  <si>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</si>
  <si>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</si>
  <si>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</si>
  <si>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</si>
  <si>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</si>
  <si>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</si>
  <si>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</si>
  <si>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</si>
  <si>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</si>
  <si>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</si>
  <si>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</si>
  <si>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</si>
  <si>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</si>
  <si>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</si>
  <si>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</si>
  <si>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</si>
  <si>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</si>
  <si>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</si>
  <si>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</si>
  <si>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</si>
  <si>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</si>
  <si>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</si>
  <si>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</si>
  <si>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</si>
  <si>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</si>
  <si>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</si>
  <si>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</si>
  <si>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</si>
  <si>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</si>
  <si>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</si>
  <si>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</si>
  <si>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</si>
  <si>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</si>
  <si>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</si>
  <si>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</si>
  <si>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</si>
  <si>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</si>
  <si>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</si>
  <si>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</si>
  <si>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</si>
  <si>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</si>
  <si>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</si>
  <si>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</si>
  <si>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</si>
  <si>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</si>
  <si>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</si>
  <si>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</si>
  <si>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</si>
  <si>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</si>
  <si>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</si>
  <si>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</si>
  <si>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</si>
  <si>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</si>
  <si>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</si>
  <si>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</si>
  <si>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</si>
  <si>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</si>
  <si>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</si>
  <si>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</si>
  <si>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</si>
  <si>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</si>
  <si>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</si>
  <si>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</si>
  <si>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</si>
  <si>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</si>
  <si>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</si>
  <si>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</si>
  <si>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</si>
  <si>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</si>
  <si>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</si>
  <si>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</si>
  <si>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</si>
  <si>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</si>
  <si>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</si>
  <si>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</si>
  <si>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</si>
  <si>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</si>
  <si>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</si>
  <si>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</si>
  <si>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</si>
  <si>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</si>
  <si>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</si>
  <si>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</si>
  <si>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</si>
  <si>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</si>
  <si>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</si>
  <si>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</si>
  <si>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</si>
  <si>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</si>
  <si>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</si>
  <si>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</si>
  <si>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</si>
  <si>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</si>
  <si>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</si>
  <si>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</si>
  <si>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</si>
  <si>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</si>
  <si>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</si>
  <si>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</si>
  <si>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</si>
  <si>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</si>
  <si>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</si>
  <si>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</si>
  <si>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</si>
  <si>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</si>
  <si>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</si>
  <si>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</si>
  <si>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</si>
  <si>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</si>
  <si>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</si>
  <si>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</si>
  <si>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</si>
  <si>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</si>
  <si>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</si>
  <si>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</si>
  <si>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</si>
  <si>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</si>
  <si>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</si>
  <si>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</si>
  <si>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</si>
  <si>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</si>
  <si>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</si>
  <si>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</si>
  <si>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</si>
  <si>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</si>
  <si>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</si>
  <si>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</si>
  <si>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</si>
  <si>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</si>
  <si>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</si>
  <si>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</si>
  <si>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</si>
  <si>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</si>
  <si>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</si>
  <si>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</si>
  <si>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</si>
  <si>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</si>
  <si>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</si>
  <si>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</si>
  <si>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</si>
  <si>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</si>
  <si>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</si>
  <si>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</si>
  <si>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</si>
  <si>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</si>
  <si>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</si>
  <si>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</si>
  <si>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</si>
  <si>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</si>
  <si>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</si>
  <si>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</si>
  <si>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</si>
  <si>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</si>
  <si>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</si>
  <si>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</si>
  <si>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</si>
  <si>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</si>
  <si>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</si>
  <si>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</si>
  <si>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</si>
  <si>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</si>
  <si>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</si>
  <si>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</si>
  <si>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</si>
  <si>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</si>
  <si>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</si>
  <si>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</si>
  <si>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</si>
  <si>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</si>
  <si>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</si>
  <si>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</si>
  <si>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</si>
  <si>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</si>
  <si>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</si>
  <si>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</si>
  <si>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</si>
  <si>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</si>
  <si>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</si>
  <si>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</si>
  <si>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</si>
  <si>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</si>
  <si>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</si>
  <si>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</si>
  <si>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</si>
  <si>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</si>
  <si>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</si>
  <si>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</si>
  <si>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</si>
  <si>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</si>
  <si>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</si>
  <si>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</si>
  <si>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</si>
  <si>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</si>
  <si>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</si>
  <si>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</si>
  <si>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</si>
  <si>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</si>
  <si>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</si>
  <si>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</si>
  <si>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</si>
  <si>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</si>
  <si>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</si>
  <si>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</si>
  <si>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</si>
  <si>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</si>
  <si>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</si>
  <si>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</si>
  <si>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</si>
  <si>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</si>
  <si>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</si>
  <si>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</si>
  <si>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</si>
  <si>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</si>
  <si>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</si>
  <si>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</si>
  <si>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</si>
  <si>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</si>
  <si>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</si>
  <si>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</si>
  <si>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</si>
  <si>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</si>
  <si>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</si>
  <si>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</si>
  <si>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</si>
  <si>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</si>
  <si>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</si>
  <si>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</si>
  <si>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</si>
  <si>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</si>
  <si>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</si>
  <si>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</si>
  <si>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</si>
  <si>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</si>
  <si>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</si>
  <si>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</si>
  <si>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</si>
  <si>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</si>
  <si>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</si>
  <si>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</si>
  <si>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</si>
  <si>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</si>
  <si>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</si>
  <si>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</si>
  <si>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</si>
  <si>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</si>
  <si>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</si>
  <si>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</si>
  <si>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</si>
  <si>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</si>
  <si>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</si>
  <si>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</si>
  <si>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</si>
  <si>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</si>
  <si>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</si>
  <si>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</si>
  <si>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</si>
  <si>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</si>
  <si>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</si>
  <si>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</si>
  <si>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</si>
  <si>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</si>
  <si>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</si>
  <si>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</si>
  <si>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</si>
  <si>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</si>
  <si>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</si>
  <si>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</si>
  <si>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</si>
  <si>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</si>
  <si>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</si>
  <si>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</si>
  <si>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</si>
  <si>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</si>
  <si>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</si>
  <si>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</si>
  <si>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</si>
  <si>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</si>
  <si>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</si>
  <si>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</si>
  <si>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</si>
  <si>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</si>
  <si>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</si>
  <si>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</si>
  <si>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</si>
  <si>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</si>
  <si>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</si>
  <si>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</si>
  <si>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</si>
  <si>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</si>
  <si>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</si>
  <si>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</si>
  <si>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</si>
  <si>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</si>
  <si>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</si>
  <si>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</si>
  <si>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</si>
  <si>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</si>
  <si>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</si>
  <si>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</si>
  <si>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</si>
  <si>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</si>
  <si>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</si>
  <si>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</si>
  <si>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</si>
  <si>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</si>
  <si>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</si>
  <si>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</si>
  <si>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</si>
  <si>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</si>
  <si>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</si>
  <si>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</si>
  <si>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</si>
  <si>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</si>
  <si>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</si>
  <si>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</si>
  <si>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</si>
  <si>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</si>
  <si>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</si>
  <si>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</si>
  <si>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</si>
  <si>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</si>
  <si>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</si>
  <si>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</si>
  <si>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</si>
  <si>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</si>
  <si>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</si>
  <si>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</si>
  <si>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</si>
  <si>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</si>
  <si>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</si>
  <si>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</si>
  <si>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</si>
  <si>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</si>
  <si>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</si>
  <si>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</si>
  <si>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</si>
  <si>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</si>
  <si>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</si>
  <si>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</si>
  <si>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</si>
  <si>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</si>
  <si>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</si>
  <si>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</si>
  <si>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</si>
  <si>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</si>
  <si>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</si>
  <si>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</si>
  <si>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</si>
  <si>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</si>
  <si>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</si>
  <si>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</si>
  <si>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</si>
  <si>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</si>
  <si>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</si>
  <si>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</si>
  <si>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</si>
  <si>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</si>
  <si>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</si>
  <si>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</si>
  <si>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</si>
  <si>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</si>
  <si>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</si>
  <si>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</si>
  <si>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</si>
  <si>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</si>
  <si>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</si>
  <si>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</si>
  <si>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</si>
  <si>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</si>
  <si>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</si>
  <si>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</si>
  <si>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</si>
  <si>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</si>
  <si>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</si>
  <si>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</si>
  <si>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</si>
  <si>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</si>
  <si>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</si>
  <si>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</si>
  <si>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</si>
  <si>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</si>
  <si>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</si>
  <si>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</si>
  <si>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</si>
  <si>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</si>
  <si>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</si>
  <si>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</si>
  <si>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</si>
  <si>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</si>
  <si>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</si>
  <si>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</si>
  <si>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</si>
  <si>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</si>
  <si>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</si>
  <si>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</si>
  <si>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</si>
  <si>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</si>
  <si>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</si>
  <si>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</si>
  <si>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</si>
  <si>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</si>
  <si>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</si>
  <si>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</si>
  <si>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</si>
  <si>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</si>
  <si>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</si>
  <si>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</si>
  <si>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</si>
  <si>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</si>
  <si>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</si>
  <si>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</si>
  <si>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</si>
  <si>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</si>
  <si>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</si>
  <si>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</si>
  <si>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</si>
  <si>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</si>
  <si>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</si>
  <si>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</si>
  <si>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</si>
  <si>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</si>
  <si>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</si>
  <si>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</si>
  <si>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</si>
  <si>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</si>
  <si>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</si>
  <si>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</si>
  <si>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</si>
  <si>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</si>
  <si>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</si>
  <si>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</si>
  <si>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</si>
  <si>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</si>
  <si>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</si>
  <si>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</si>
  <si>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</si>
  <si>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</si>
  <si>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</si>
  <si>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</si>
  <si>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</si>
  <si>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</si>
  <si>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</si>
  <si>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</si>
  <si>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</si>
  <si>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</si>
  <si>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</si>
  <si>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</si>
  <si>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</si>
  <si>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</si>
  <si>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</si>
  <si>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</si>
  <si>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</si>
  <si>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</si>
  <si>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</si>
  <si>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</si>
  <si>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</si>
  <si>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</si>
  <si>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</si>
  <si>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</si>
  <si>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</si>
  <si>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</si>
  <si>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</si>
  <si>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</si>
  <si>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</si>
  <si>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</si>
  <si>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</si>
  <si>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</si>
  <si>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</si>
  <si>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</si>
  <si>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</si>
  <si>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</si>
  <si>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</si>
  <si>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</si>
  <si>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</si>
  <si>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</si>
  <si>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</si>
  <si>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</si>
  <si>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</si>
  <si>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</si>
  <si>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</si>
  <si>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</si>
  <si>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</si>
  <si>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</si>
  <si>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</si>
  <si>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</si>
  <si>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</si>
  <si>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</si>
  <si>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</si>
  <si>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</si>
  <si>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</si>
  <si>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</si>
  <si>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</si>
  <si>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</si>
  <si>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</si>
  <si>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</si>
  <si>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</si>
  <si>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</si>
  <si>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</si>
  <si>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</si>
  <si>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</si>
  <si>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</si>
  <si>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</si>
  <si>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</si>
  <si>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</si>
  <si>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</si>
  <si>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</si>
  <si>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</si>
  <si>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</si>
  <si>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</si>
  <si>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</si>
  <si>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</si>
  <si>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</si>
  <si>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</si>
  <si>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</si>
  <si>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</si>
  <si>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</si>
  <si>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</si>
  <si>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</si>
  <si>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</si>
  <si>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</si>
  <si>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</si>
  <si>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</si>
  <si>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</si>
  <si>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</si>
  <si>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</si>
  <si>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</si>
  <si>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</si>
  <si>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</si>
  <si>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</si>
  <si>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</si>
  <si>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</si>
  <si>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</si>
  <si>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</si>
  <si>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</si>
  <si>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</si>
  <si>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</si>
  <si>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</si>
  <si>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</si>
  <si>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</si>
  <si>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</si>
  <si>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</si>
  <si>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</si>
  <si>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</si>
  <si>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</si>
  <si>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</si>
  <si>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</si>
  <si>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</si>
  <si>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</si>
  <si>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</si>
  <si>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</si>
  <si>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</si>
  <si>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</si>
  <si>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</si>
  <si>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</si>
  <si>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</si>
  <si>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</si>
  <si>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</si>
  <si>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</si>
  <si>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</si>
  <si>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</si>
  <si>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</si>
  <si>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</si>
  <si>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</si>
  <si>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</si>
  <si>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</si>
  <si>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</si>
  <si>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</si>
  <si>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</si>
  <si>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</si>
  <si>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</si>
  <si>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</si>
  <si>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</si>
  <si>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</si>
  <si>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</si>
  <si>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</si>
  <si>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</si>
  <si>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</si>
  <si>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</si>
  <si>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</si>
  <si>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</si>
  <si>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</si>
  <si>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</si>
  <si>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</si>
  <si>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</si>
  <si>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</si>
  <si>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</si>
  <si>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</si>
  <si>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</si>
  <si>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</si>
  <si>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</si>
  <si>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</si>
  <si>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</si>
  <si>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</si>
  <si>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</si>
  <si>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</si>
  <si>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</si>
  <si>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</si>
  <si>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</si>
  <si>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</si>
  <si>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</si>
  <si>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</si>
  <si>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</si>
  <si>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</si>
  <si>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</si>
  <si>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</si>
  <si>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</si>
  <si>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</si>
  <si>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</si>
  <si>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</si>
  <si>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</si>
  <si>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</si>
  <si>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</si>
  <si>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</si>
  <si>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</si>
  <si>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</si>
  <si>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</si>
  <si>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</si>
  <si>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</si>
  <si>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</si>
  <si>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</si>
  <si>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</si>
  <si>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</si>
  <si>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</si>
  <si>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</si>
  <si>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</si>
  <si>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</si>
  <si>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</si>
  <si>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</si>
  <si>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</si>
  <si>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</si>
  <si>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</si>
  <si>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</si>
  <si>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</si>
  <si>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</si>
  <si>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</si>
  <si>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</si>
  <si>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</si>
  <si>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</si>
  <si>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</si>
  <si>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</si>
  <si>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</si>
  <si>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</si>
  <si>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</si>
  <si>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</si>
  <si>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</si>
  <si>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</si>
  <si>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</si>
  <si>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</si>
  <si>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</si>
  <si>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</si>
  <si>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</si>
  <si>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</si>
  <si>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</si>
  <si>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</si>
  <si>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</si>
  <si>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</si>
  <si>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</si>
  <si>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</si>
  <si>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</si>
  <si>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</si>
  <si>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</si>
  <si>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</si>
  <si>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</si>
  <si>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</si>
  <si>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</si>
  <si>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</si>
  <si>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</si>
  <si>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</si>
  <si>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</si>
  <si>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</si>
  <si>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</si>
  <si>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</si>
  <si>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</si>
  <si>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</si>
  <si>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</si>
  <si>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</si>
  <si>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</si>
  <si>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</si>
  <si>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</si>
  <si>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</si>
  <si>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</si>
  <si>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</si>
  <si>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</si>
  <si>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</si>
  <si>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</si>
  <si>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</si>
  <si>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</si>
  <si>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</si>
  <si>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</si>
  <si>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</si>
  <si>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</si>
  <si>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</si>
  <si>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</si>
  <si>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</si>
  <si>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</si>
  <si>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</si>
  <si>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</si>
  <si>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</si>
  <si>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</si>
  <si>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</si>
  <si>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</si>
  <si>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</si>
  <si>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</si>
  <si>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</si>
  <si>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</si>
  <si>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</si>
  <si>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</si>
  <si>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</si>
  <si>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</si>
  <si>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</si>
  <si>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</si>
  <si>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</si>
  <si>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</si>
  <si>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</si>
  <si>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</si>
  <si>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</si>
  <si>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</si>
  <si>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</si>
  <si>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</si>
  <si>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</si>
  <si>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</si>
  <si>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</si>
  <si>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</si>
  <si>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</si>
  <si>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</si>
  <si>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</si>
  <si>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</si>
  <si>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</si>
  <si>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</si>
  <si>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</si>
  <si>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</si>
  <si>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</si>
  <si>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</si>
  <si>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</si>
  <si>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</si>
  <si>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</si>
  <si>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</si>
  <si>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</si>
  <si>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</si>
  <si>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</si>
  <si>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</si>
  <si>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</si>
  <si>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</si>
  <si>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</si>
  <si>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</si>
  <si>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</si>
  <si>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</si>
  <si>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</si>
  <si>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</si>
  <si>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</si>
  <si>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</si>
  <si>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</si>
  <si>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</si>
  <si>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</si>
  <si>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</si>
  <si>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</si>
  <si>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</si>
  <si>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</si>
  <si>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</si>
  <si>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</si>
  <si>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</si>
  <si>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</si>
  <si>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</si>
  <si>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</si>
  <si>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</si>
  <si>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</si>
  <si>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</si>
  <si>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</si>
  <si>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</si>
  <si>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</si>
  <si>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</si>
  <si>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</si>
  <si>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</si>
  <si>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</si>
  <si>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</si>
  <si>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</si>
  <si>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</si>
  <si>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</si>
  <si>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</si>
  <si>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</si>
  <si>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</si>
  <si>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</si>
  <si>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</si>
  <si>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</si>
  <si>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</si>
  <si>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</si>
  <si>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</si>
  <si>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</si>
  <si>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</si>
  <si>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</si>
  <si>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</si>
  <si>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</si>
  <si>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</si>
  <si>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</si>
  <si>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</si>
  <si>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</si>
  <si>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</si>
  <si>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</si>
  <si>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</si>
  <si>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</si>
  <si>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</si>
  <si>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</si>
  <si>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</si>
  <si>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</si>
  <si>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</si>
  <si>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</si>
  <si>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</si>
  <si>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</si>
  <si>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</si>
  <si>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</si>
  <si>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</si>
  <si>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</si>
  <si>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</si>
  <si>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</si>
  <si>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</si>
  <si>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</si>
  <si>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</si>
  <si>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</si>
  <si>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</si>
  <si>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</si>
  <si>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</si>
  <si>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</si>
  <si>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</si>
  <si>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</si>
  <si>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</si>
  <si>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</si>
  <si>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</si>
  <si>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</si>
  <si>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</si>
  <si>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</si>
  <si>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</si>
  <si>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</si>
  <si>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</si>
  <si>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</si>
  <si>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</si>
  <si>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</si>
  <si>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</si>
  <si>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</si>
  <si>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</si>
  <si>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</si>
  <si>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</si>
  <si>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</si>
  <si>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</si>
  <si>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</si>
  <si>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</si>
  <si>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</si>
  <si>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</si>
  <si>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</si>
  <si>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</si>
  <si>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</si>
  <si>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</si>
  <si>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</si>
  <si>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</si>
  <si>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</si>
  <si>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</si>
  <si>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</si>
  <si>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</si>
  <si>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</si>
  <si>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</si>
  <si>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</si>
  <si>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</si>
  <si>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</si>
  <si>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</si>
  <si>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</si>
  <si>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</si>
  <si>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</si>
  <si>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</si>
  <si>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</si>
  <si>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</si>
  <si>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</si>
  <si>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</si>
  <si>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</si>
  <si>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</si>
  <si>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</si>
  <si>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</si>
  <si>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</si>
  <si>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</si>
  <si>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</si>
  <si>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</si>
  <si>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</si>
  <si>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</si>
  <si>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</si>
  <si>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</si>
  <si>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</si>
  <si>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</si>
  <si>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</si>
  <si>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</si>
  <si>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</si>
  <si>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</si>
  <si>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</si>
  <si>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</si>
  <si>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</si>
  <si>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</si>
  <si>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</si>
  <si>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</si>
  <si>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</si>
  <si>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</si>
  <si>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</si>
  <si>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</si>
  <si>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</si>
  <si>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</si>
  <si>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</si>
  <si>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</si>
  <si>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</si>
  <si>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</si>
  <si>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</si>
  <si>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</si>
  <si>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</si>
  <si>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</si>
  <si>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</si>
  <si>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</si>
  <si>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</si>
  <si>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</si>
  <si>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</si>
  <si>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</si>
  <si>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</si>
  <si>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</si>
  <si>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</si>
  <si>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</si>
  <si>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</si>
  <si>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</si>
  <si>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</si>
  <si>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</si>
  <si>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</si>
  <si>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</si>
  <si>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</si>
  <si>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</si>
  <si>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</si>
  <si>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</si>
  <si>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</si>
  <si>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</si>
  <si>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</si>
  <si>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</si>
  <si>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</si>
  <si>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</si>
  <si>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</si>
  <si>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</si>
  <si>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</si>
  <si>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</si>
  <si>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</si>
  <si>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</si>
  <si>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</si>
  <si>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</si>
  <si>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</si>
  <si>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</si>
  <si>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</si>
  <si>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</si>
  <si>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</si>
  <si>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</si>
  <si>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</si>
  <si>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</si>
  <si>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</si>
  <si>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</si>
  <si>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</si>
  <si>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</si>
  <si>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</si>
  <si>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</si>
  <si>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</si>
  <si>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</si>
  <si>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</si>
  <si>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</si>
  <si>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</si>
  <si>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</si>
  <si>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</si>
  <si>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</si>
  <si>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</si>
  <si>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</si>
  <si>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</si>
  <si>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</si>
  <si>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</si>
  <si>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</si>
  <si>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</si>
  <si>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</si>
  <si>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</si>
  <si>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</si>
  <si>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</si>
  <si>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</si>
  <si>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</si>
  <si>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</si>
  <si>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</si>
  <si>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</si>
  <si>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205</t>
  </si>
  <si>
    <t>12/31/2019</t>
  </si>
  <si>
    <t>Confluence Health: Wenatchee Valley Hospital</t>
  </si>
  <si>
    <t>1201 S. Miller St</t>
  </si>
  <si>
    <t>Wenatchee, WA 98801</t>
  </si>
  <si>
    <t>Chelan</t>
  </si>
  <si>
    <t>Dr. Peter Rutherford</t>
  </si>
  <si>
    <t>Tom Legal</t>
  </si>
  <si>
    <t>509-663-8711</t>
  </si>
  <si>
    <t xml:space="preserve"> Lab was moved to a CWH service</t>
  </si>
  <si>
    <t xml:space="preserve"> </t>
  </si>
  <si>
    <t>incorrectly reported RVUs for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</si>
</sst>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20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E59">
            <v>936</v>
          </cell>
          <cell r="G59">
            <v>2006</v>
          </cell>
          <cell r="P59">
            <v>377479</v>
          </cell>
          <cell r="Q59">
            <v>183134</v>
          </cell>
          <cell r="R59">
            <v>203214</v>
          </cell>
          <cell r="U59">
            <v>448337</v>
          </cell>
          <cell r="Y59">
            <v>616573</v>
          </cell>
          <cell r="AA59">
            <v>9418</v>
          </cell>
          <cell r="AC59">
            <v>131</v>
          </cell>
          <cell r="AE59">
            <v>87099</v>
          </cell>
          <cell r="AJ59">
            <v>368018</v>
          </cell>
          <cell r="AK59">
            <v>8056</v>
          </cell>
          <cell r="AL59">
            <v>1371</v>
          </cell>
          <cell r="AP59">
            <v>520207</v>
          </cell>
          <cell r="AZ59">
            <v>8226</v>
          </cell>
          <cell r="BE59">
            <v>375361</v>
          </cell>
        </row>
        <row r="71">
          <cell r="D71">
            <v>0</v>
          </cell>
          <cell r="E71">
            <v>2018638</v>
          </cell>
          <cell r="F71">
            <v>0</v>
          </cell>
          <cell r="G71">
            <v>2624521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9242151</v>
          </cell>
          <cell r="Q71">
            <v>2068795</v>
          </cell>
          <cell r="R71">
            <v>358344</v>
          </cell>
          <cell r="S71">
            <v>6959935</v>
          </cell>
          <cell r="T71">
            <v>0</v>
          </cell>
          <cell r="U71">
            <v>4684720</v>
          </cell>
          <cell r="V71">
            <v>0</v>
          </cell>
          <cell r="W71">
            <v>0</v>
          </cell>
          <cell r="X71">
            <v>1243738</v>
          </cell>
          <cell r="Y71">
            <v>9612690</v>
          </cell>
          <cell r="Z71">
            <v>0</v>
          </cell>
          <cell r="AA71">
            <v>693681</v>
          </cell>
          <cell r="AB71">
            <v>3086723</v>
          </cell>
          <cell r="AC71">
            <v>223074</v>
          </cell>
          <cell r="AD71">
            <v>0</v>
          </cell>
          <cell r="AE71">
            <v>2794092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52679534</v>
          </cell>
          <cell r="AK71">
            <v>1772843</v>
          </cell>
          <cell r="AL71">
            <v>169683</v>
          </cell>
          <cell r="AM71">
            <v>0</v>
          </cell>
          <cell r="AN71">
            <v>0</v>
          </cell>
          <cell r="AO71">
            <v>0</v>
          </cell>
          <cell r="AP71">
            <v>64027711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9715093</v>
          </cell>
          <cell r="AW71">
            <v>160889</v>
          </cell>
          <cell r="AX71">
            <v>0</v>
          </cell>
          <cell r="AY71">
            <v>540</v>
          </cell>
          <cell r="AZ71">
            <v>898535</v>
          </cell>
          <cell r="BA71">
            <v>69888</v>
          </cell>
          <cell r="BB71">
            <v>0</v>
          </cell>
          <cell r="BC71">
            <v>0</v>
          </cell>
          <cell r="BD71">
            <v>0</v>
          </cell>
          <cell r="BE71">
            <v>2587329</v>
          </cell>
          <cell r="BF71">
            <v>2640494</v>
          </cell>
          <cell r="BG71">
            <v>186024</v>
          </cell>
          <cell r="BH71">
            <v>345468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156687685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39852494</v>
          </cell>
          <cell r="CD71">
            <v>-72517660</v>
          </cell>
        </row>
        <row r="82">
          <cell r="C82" t="str">
            <v>12/31/2018</v>
          </cell>
        </row>
        <row r="83">
          <cell r="C83" t="str">
            <v>205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392" sqref="C39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1257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1230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292"/>
      <c r="C15" s="234"/>
    </row>
    <row r="16" spans="1:6" ht="12.75" customHeight="1" x14ac:dyDescent="0.35">
      <c r="A16" s="293" t="s">
        <v>1266</v>
      </c>
      <c r="C16" s="234"/>
      <c r="F16" s="286"/>
    </row>
    <row r="17" spans="1:6" ht="12.75" customHeight="1" x14ac:dyDescent="0.35">
      <c r="A17" s="293" t="s">
        <v>1264</v>
      </c>
      <c r="C17" s="286"/>
    </row>
    <row r="18" spans="1:6" ht="12.75" customHeight="1" x14ac:dyDescent="0.35">
      <c r="A18" s="227"/>
      <c r="C18" s="234"/>
    </row>
    <row r="19" spans="1:6" ht="12.75" customHeight="1" x14ac:dyDescent="0.35">
      <c r="C19" s="234"/>
    </row>
    <row r="20" spans="1:6" ht="12.75" customHeight="1" x14ac:dyDescent="0.35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5">
      <c r="A21" s="199"/>
      <c r="C21" s="234"/>
    </row>
    <row r="22" spans="1:6" ht="12.65" customHeight="1" x14ac:dyDescent="0.35">
      <c r="A22" s="236" t="s">
        <v>1253</v>
      </c>
      <c r="B22" s="237"/>
      <c r="C22" s="238"/>
      <c r="D22" s="236"/>
      <c r="E22" s="236"/>
    </row>
    <row r="23" spans="1:6" ht="12.65" customHeight="1" x14ac:dyDescent="0.35">
      <c r="B23" s="199"/>
      <c r="C23" s="234"/>
    </row>
    <row r="24" spans="1:6" ht="12.65" customHeight="1" x14ac:dyDescent="0.35">
      <c r="A24" s="239" t="s">
        <v>3</v>
      </c>
      <c r="C24" s="234"/>
    </row>
    <row r="25" spans="1:6" ht="12.65" customHeight="1" x14ac:dyDescent="0.35">
      <c r="A25" s="198" t="s">
        <v>1234</v>
      </c>
      <c r="C25" s="234"/>
    </row>
    <row r="26" spans="1:6" ht="12.65" customHeight="1" x14ac:dyDescent="0.35">
      <c r="A26" s="199" t="s">
        <v>4</v>
      </c>
      <c r="C26" s="234"/>
    </row>
    <row r="27" spans="1:6" ht="12.65" customHeight="1" x14ac:dyDescent="0.35">
      <c r="A27" s="198" t="s">
        <v>1235</v>
      </c>
      <c r="C27" s="234"/>
    </row>
    <row r="28" spans="1:6" ht="12.65" customHeight="1" x14ac:dyDescent="0.35">
      <c r="A28" s="199" t="s">
        <v>5</v>
      </c>
      <c r="C28" s="234"/>
    </row>
    <row r="29" spans="1:6" ht="12.65" customHeight="1" x14ac:dyDescent="0.35">
      <c r="A29" s="198"/>
      <c r="C29" s="234"/>
    </row>
    <row r="30" spans="1:6" ht="12.65" customHeight="1" x14ac:dyDescent="0.35">
      <c r="A30" s="180" t="s">
        <v>6</v>
      </c>
      <c r="C30" s="234"/>
    </row>
    <row r="31" spans="1:6" ht="12.65" customHeight="1" x14ac:dyDescent="0.35">
      <c r="A31" s="199" t="s">
        <v>7</v>
      </c>
      <c r="C31" s="234"/>
    </row>
    <row r="32" spans="1:6" ht="12.65" customHeight="1" x14ac:dyDescent="0.35">
      <c r="A32" s="199" t="s">
        <v>8</v>
      </c>
      <c r="C32" s="234"/>
    </row>
    <row r="33" spans="1:83" ht="12.65" customHeight="1" x14ac:dyDescent="0.35">
      <c r="A33" s="198" t="s">
        <v>1236</v>
      </c>
      <c r="C33" s="234"/>
    </row>
    <row r="34" spans="1:83" ht="12.65" customHeight="1" x14ac:dyDescent="0.35">
      <c r="A34" s="199" t="s">
        <v>9</v>
      </c>
      <c r="C34" s="234"/>
    </row>
    <row r="35" spans="1:83" ht="12.65" customHeight="1" x14ac:dyDescent="0.35">
      <c r="A35" s="199"/>
      <c r="C35" s="234"/>
    </row>
    <row r="36" spans="1:83" ht="12.65" customHeight="1" x14ac:dyDescent="0.35">
      <c r="A36" s="198" t="s">
        <v>1237</v>
      </c>
      <c r="C36" s="234"/>
    </row>
    <row r="37" spans="1:83" ht="12.65" customHeight="1" x14ac:dyDescent="0.35">
      <c r="A37" s="199" t="s">
        <v>1229</v>
      </c>
      <c r="C37" s="234"/>
    </row>
    <row r="38" spans="1:83" ht="12" customHeight="1" x14ac:dyDescent="0.35">
      <c r="A38" s="198"/>
      <c r="C38" s="234"/>
    </row>
    <row r="39" spans="1:83" ht="12.65" customHeight="1" x14ac:dyDescent="0.35">
      <c r="A39" s="199"/>
      <c r="C39" s="234"/>
    </row>
    <row r="40" spans="1:83" ht="12" customHeight="1" x14ac:dyDescent="0.35">
      <c r="A40" s="199"/>
      <c r="C40" s="234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4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25583910.18</v>
      </c>
      <c r="C47" s="184"/>
      <c r="D47" s="184"/>
      <c r="E47" s="184">
        <v>360987.49</v>
      </c>
      <c r="F47" s="184"/>
      <c r="G47" s="184">
        <v>520851.29</v>
      </c>
      <c r="H47" s="184"/>
      <c r="I47" s="184"/>
      <c r="J47" s="184"/>
      <c r="K47" s="184"/>
      <c r="L47" s="184"/>
      <c r="M47" s="184"/>
      <c r="N47" s="184"/>
      <c r="O47" s="184"/>
      <c r="P47" s="184">
        <v>1279207.0900000001</v>
      </c>
      <c r="Q47" s="184">
        <v>360998.25</v>
      </c>
      <c r="R47" s="184">
        <v>0</v>
      </c>
      <c r="S47" s="184">
        <v>107570.42</v>
      </c>
      <c r="T47" s="184"/>
      <c r="U47" s="184">
        <v>313294.3</v>
      </c>
      <c r="V47" s="184"/>
      <c r="W47" s="184"/>
      <c r="X47" s="184">
        <v>99171.03</v>
      </c>
      <c r="Y47" s="184">
        <v>785257.76</v>
      </c>
      <c r="Z47" s="184"/>
      <c r="AA47" s="184">
        <v>0</v>
      </c>
      <c r="AB47" s="184">
        <v>585304.17000000004</v>
      </c>
      <c r="AC47" s="184">
        <v>6235.29</v>
      </c>
      <c r="AD47" s="184">
        <v>0</v>
      </c>
      <c r="AE47" s="184">
        <v>617113.67000000004</v>
      </c>
      <c r="AF47" s="184">
        <v>0</v>
      </c>
      <c r="AG47" s="184">
        <v>99824.25</v>
      </c>
      <c r="AH47" s="184">
        <v>0</v>
      </c>
      <c r="AI47" s="184">
        <v>0</v>
      </c>
      <c r="AJ47" s="184">
        <v>4325527.37</v>
      </c>
      <c r="AK47" s="184">
        <v>349146.48</v>
      </c>
      <c r="AL47" s="184">
        <v>12628.66</v>
      </c>
      <c r="AM47" s="184">
        <v>0</v>
      </c>
      <c r="AN47" s="184">
        <v>0</v>
      </c>
      <c r="AO47" s="184">
        <v>0</v>
      </c>
      <c r="AP47" s="184">
        <v>11710946.85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/>
      <c r="AX47" s="184"/>
      <c r="AY47" s="184"/>
      <c r="AZ47" s="184">
        <v>128964.43</v>
      </c>
      <c r="BA47" s="184"/>
      <c r="BB47" s="184"/>
      <c r="BC47" s="184"/>
      <c r="BD47" s="184"/>
      <c r="BE47" s="184">
        <v>218538.62</v>
      </c>
      <c r="BF47" s="184">
        <v>418012.68</v>
      </c>
      <c r="BG47" s="184">
        <v>727642.27</v>
      </c>
      <c r="BH47" s="184"/>
      <c r="BI47" s="184"/>
      <c r="BJ47" s="184"/>
      <c r="BK47" s="184"/>
      <c r="BL47" s="184"/>
      <c r="BM47" s="184"/>
      <c r="BN47" s="184">
        <v>1783100.92</v>
      </c>
      <c r="BO47" s="184">
        <v>42939.14</v>
      </c>
      <c r="BP47" s="184">
        <v>0</v>
      </c>
      <c r="BQ47" s="184">
        <v>0</v>
      </c>
      <c r="BR47" s="184">
        <v>4878.43</v>
      </c>
      <c r="BS47" s="184"/>
      <c r="BT47" s="184"/>
      <c r="BU47" s="184"/>
      <c r="BV47" s="184">
        <v>254547.37</v>
      </c>
      <c r="BW47" s="184"/>
      <c r="BX47" s="184"/>
      <c r="BY47" s="184"/>
      <c r="BZ47" s="184"/>
      <c r="CA47" s="184"/>
      <c r="CB47" s="184"/>
      <c r="CC47" s="184">
        <f>450247.99-20973.96</f>
        <v>429274.02999999997</v>
      </c>
      <c r="CD47" s="195"/>
      <c r="CE47" s="195">
        <f>SUM(C47:CC47)</f>
        <v>25541962.260000002</v>
      </c>
    </row>
    <row r="48" spans="1:83" ht="12.65" customHeight="1" x14ac:dyDescent="0.3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25583910.18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2347920.9500000002</v>
      </c>
      <c r="C51" s="184"/>
      <c r="D51" s="184"/>
      <c r="E51" s="184">
        <v>24054.69</v>
      </c>
      <c r="F51" s="184"/>
      <c r="G51" s="184">
        <v>0</v>
      </c>
      <c r="H51" s="184" t="s">
        <v>1278</v>
      </c>
      <c r="I51" s="184"/>
      <c r="J51" s="184"/>
      <c r="K51" s="184"/>
      <c r="L51" s="184"/>
      <c r="M51" s="184"/>
      <c r="N51" s="184"/>
      <c r="O51" s="184"/>
      <c r="P51" s="184">
        <v>350474.45</v>
      </c>
      <c r="Q51" s="184">
        <v>4110.91</v>
      </c>
      <c r="R51" s="184">
        <v>17404.5</v>
      </c>
      <c r="S51" s="184">
        <v>0</v>
      </c>
      <c r="T51" s="184">
        <v>0</v>
      </c>
      <c r="U51" s="184">
        <v>109174.51</v>
      </c>
      <c r="V51" s="184"/>
      <c r="W51" s="184"/>
      <c r="X51" s="184">
        <v>4034.89</v>
      </c>
      <c r="Y51" s="184">
        <v>256856.68</v>
      </c>
      <c r="Z51" s="184"/>
      <c r="AA51" s="184"/>
      <c r="AB51" s="184">
        <v>33608.339999999997</v>
      </c>
      <c r="AC51" s="184">
        <v>0</v>
      </c>
      <c r="AD51" s="184"/>
      <c r="AE51" s="184">
        <v>26332.080000000002</v>
      </c>
      <c r="AF51" s="184">
        <v>0</v>
      </c>
      <c r="AG51" s="184">
        <v>0</v>
      </c>
      <c r="AH51" s="184">
        <v>0</v>
      </c>
      <c r="AI51" s="184">
        <v>0</v>
      </c>
      <c r="AJ51" s="184">
        <v>315581.31</v>
      </c>
      <c r="AK51" s="184">
        <v>826.25</v>
      </c>
      <c r="AL51" s="184">
        <v>0</v>
      </c>
      <c r="AM51" s="184">
        <v>0</v>
      </c>
      <c r="AN51" s="184">
        <v>0</v>
      </c>
      <c r="AO51" s="184">
        <v>0</v>
      </c>
      <c r="AP51" s="184">
        <v>685939.43</v>
      </c>
      <c r="AQ51" s="184"/>
      <c r="AR51" s="184"/>
      <c r="AS51" s="184"/>
      <c r="AT51" s="184"/>
      <c r="AU51" s="184"/>
      <c r="AV51" s="184"/>
      <c r="AW51" s="184"/>
      <c r="AX51" s="184"/>
      <c r="AY51" s="184"/>
      <c r="AZ51" s="184">
        <v>1055.19</v>
      </c>
      <c r="BA51" s="184"/>
      <c r="BB51" s="184"/>
      <c r="BC51" s="184"/>
      <c r="BD51" s="184"/>
      <c r="BE51" s="184">
        <v>114191.48</v>
      </c>
      <c r="BF51" s="184">
        <v>4930.87</v>
      </c>
      <c r="BG51" s="184">
        <v>38300.65</v>
      </c>
      <c r="BH51" s="184">
        <v>174299.3</v>
      </c>
      <c r="BI51" s="184"/>
      <c r="BJ51" s="184"/>
      <c r="BK51" s="184"/>
      <c r="BL51" s="184"/>
      <c r="BM51" s="184"/>
      <c r="BN51" s="184">
        <v>186745.42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/>
      <c r="CD51" s="195"/>
      <c r="CE51" s="195">
        <f>SUM(C51:CD51)</f>
        <v>2347920.9499999997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2347920.9500000002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526</v>
      </c>
      <c r="F59" s="184"/>
      <c r="G59" s="184">
        <v>1454</v>
      </c>
      <c r="H59" s="184"/>
      <c r="I59" s="184"/>
      <c r="J59" s="184"/>
      <c r="K59" s="184"/>
      <c r="L59" s="184"/>
      <c r="M59" s="184"/>
      <c r="N59" s="184"/>
      <c r="O59" s="184"/>
      <c r="P59" s="185">
        <v>343021</v>
      </c>
      <c r="Q59" s="185">
        <v>162207</v>
      </c>
      <c r="R59" s="185">
        <v>348049</v>
      </c>
      <c r="S59" s="247"/>
      <c r="T59" s="247"/>
      <c r="U59" s="224">
        <v>24362</v>
      </c>
      <c r="V59" s="185"/>
      <c r="W59" s="185"/>
      <c r="X59" s="185"/>
      <c r="Y59" s="185">
        <v>481421</v>
      </c>
      <c r="Z59" s="185"/>
      <c r="AA59" s="185"/>
      <c r="AB59" s="247"/>
      <c r="AC59" s="185">
        <v>492</v>
      </c>
      <c r="AD59" s="185"/>
      <c r="AE59" s="185">
        <v>17397</v>
      </c>
      <c r="AF59" s="185"/>
      <c r="AG59" s="185">
        <f>1748+1499</f>
        <v>3247</v>
      </c>
      <c r="AH59" s="185"/>
      <c r="AI59" s="185"/>
      <c r="AJ59" s="185">
        <v>151643</v>
      </c>
      <c r="AK59" s="185">
        <v>7648</v>
      </c>
      <c r="AL59" s="185">
        <v>1022</v>
      </c>
      <c r="AM59" s="185"/>
      <c r="AN59" s="185"/>
      <c r="AO59" s="185"/>
      <c r="AP59" s="185">
        <v>548322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7017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186"/>
      <c r="D60" s="187"/>
      <c r="E60" s="187">
        <v>14.97</v>
      </c>
      <c r="F60" s="223"/>
      <c r="G60" s="187">
        <v>20.54</v>
      </c>
      <c r="H60" s="187"/>
      <c r="I60" s="187"/>
      <c r="J60" s="223"/>
      <c r="K60" s="187"/>
      <c r="L60" s="187"/>
      <c r="M60" s="187"/>
      <c r="N60" s="187"/>
      <c r="O60" s="187"/>
      <c r="P60" s="221">
        <v>53.55</v>
      </c>
      <c r="Q60" s="221">
        <v>16.989999999999998</v>
      </c>
      <c r="R60" s="221"/>
      <c r="S60" s="221">
        <v>5.96</v>
      </c>
      <c r="T60" s="221"/>
      <c r="U60" s="221">
        <v>17.920000000000002</v>
      </c>
      <c r="V60" s="221"/>
      <c r="W60" s="221"/>
      <c r="X60" s="221">
        <v>4.7699999999999996</v>
      </c>
      <c r="Y60" s="221">
        <v>36.81</v>
      </c>
      <c r="Z60" s="221"/>
      <c r="AA60" s="221"/>
      <c r="AB60" s="221">
        <v>20.93</v>
      </c>
      <c r="AC60" s="221">
        <v>0.27</v>
      </c>
      <c r="AD60" s="221"/>
      <c r="AE60" s="221">
        <v>22.82</v>
      </c>
      <c r="AF60" s="221"/>
      <c r="AG60" s="221">
        <v>4.22</v>
      </c>
      <c r="AH60" s="221"/>
      <c r="AI60" s="221"/>
      <c r="AJ60" s="221">
        <v>193.83</v>
      </c>
      <c r="AK60" s="221">
        <v>12.93</v>
      </c>
      <c r="AL60" s="221">
        <v>0.65</v>
      </c>
      <c r="AM60" s="221"/>
      <c r="AN60" s="221"/>
      <c r="AO60" s="221"/>
      <c r="AP60" s="221">
        <v>507.49</v>
      </c>
      <c r="AQ60" s="221"/>
      <c r="AR60" s="221"/>
      <c r="AS60" s="221"/>
      <c r="AT60" s="221"/>
      <c r="AU60" s="221"/>
      <c r="AV60" s="221"/>
      <c r="AW60" s="221"/>
      <c r="AX60" s="221"/>
      <c r="AY60" s="221"/>
      <c r="AZ60" s="221">
        <v>7.42</v>
      </c>
      <c r="BA60" s="221"/>
      <c r="BB60" s="221"/>
      <c r="BC60" s="221"/>
      <c r="BD60" s="221"/>
      <c r="BE60" s="221">
        <v>9.92</v>
      </c>
      <c r="BF60" s="221">
        <v>22.01</v>
      </c>
      <c r="BG60" s="221">
        <v>43.45</v>
      </c>
      <c r="BH60" s="221"/>
      <c r="BI60" s="221"/>
      <c r="BJ60" s="221"/>
      <c r="BK60" s="221"/>
      <c r="BL60" s="221"/>
      <c r="BM60" s="221"/>
      <c r="BN60" s="221">
        <v>3.19</v>
      </c>
      <c r="BO60" s="221">
        <v>2.0499999999999998</v>
      </c>
      <c r="BP60" s="221"/>
      <c r="BQ60" s="221"/>
      <c r="BR60" s="221">
        <v>0.46</v>
      </c>
      <c r="BS60" s="221"/>
      <c r="BT60" s="221"/>
      <c r="BU60" s="221"/>
      <c r="BV60" s="221">
        <v>13.98</v>
      </c>
      <c r="BW60" s="221"/>
      <c r="BX60" s="221"/>
      <c r="BY60" s="221"/>
      <c r="BZ60" s="221"/>
      <c r="CA60" s="221"/>
      <c r="CB60" s="221"/>
      <c r="CC60" s="221">
        <v>21.05</v>
      </c>
      <c r="CD60" s="248" t="s">
        <v>221</v>
      </c>
      <c r="CE60" s="250">
        <f t="shared" ref="CE60:CE70" si="0">SUM(C60:CD60)</f>
        <v>1058.18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1118217.3</v>
      </c>
      <c r="F61" s="185"/>
      <c r="G61" s="184">
        <v>1595314.1</v>
      </c>
      <c r="H61" s="184"/>
      <c r="I61" s="185"/>
      <c r="J61" s="185"/>
      <c r="K61" s="185"/>
      <c r="L61" s="185"/>
      <c r="M61" s="184"/>
      <c r="N61" s="184"/>
      <c r="O61" s="184"/>
      <c r="P61" s="185">
        <v>4371710.92</v>
      </c>
      <c r="Q61" s="185">
        <v>1513865.22</v>
      </c>
      <c r="R61" s="185">
        <v>0</v>
      </c>
      <c r="S61" s="185">
        <v>266411.53999999998</v>
      </c>
      <c r="T61" s="185">
        <v>0</v>
      </c>
      <c r="U61" s="185">
        <v>757295.21</v>
      </c>
      <c r="V61" s="185">
        <v>0</v>
      </c>
      <c r="W61" s="185">
        <v>0</v>
      </c>
      <c r="X61" s="185">
        <v>335544.45</v>
      </c>
      <c r="Y61" s="185">
        <v>2631146.2200000002</v>
      </c>
      <c r="Z61" s="185">
        <v>0</v>
      </c>
      <c r="AA61" s="185">
        <v>0</v>
      </c>
      <c r="AB61" s="185">
        <v>2221516.23</v>
      </c>
      <c r="AC61" s="185">
        <v>23079.37</v>
      </c>
      <c r="AD61" s="185">
        <v>0</v>
      </c>
      <c r="AE61" s="185">
        <v>1688601.36</v>
      </c>
      <c r="AF61" s="185">
        <v>0</v>
      </c>
      <c r="AG61" s="185">
        <v>383106.21</v>
      </c>
      <c r="AH61" s="185">
        <v>0</v>
      </c>
      <c r="AI61" s="185">
        <v>0</v>
      </c>
      <c r="AJ61" s="185">
        <v>12701722.369999999</v>
      </c>
      <c r="AK61" s="185">
        <v>963857.93</v>
      </c>
      <c r="AL61" s="185">
        <v>66576.33</v>
      </c>
      <c r="AM61" s="185">
        <v>0</v>
      </c>
      <c r="AN61" s="185">
        <v>0</v>
      </c>
      <c r="AO61" s="185">
        <v>0</v>
      </c>
      <c r="AP61" s="185">
        <v>35164531.049999997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0</v>
      </c>
      <c r="AZ61" s="185">
        <v>305135.46999999997</v>
      </c>
      <c r="BA61" s="185">
        <v>0</v>
      </c>
      <c r="BB61" s="185">
        <v>0</v>
      </c>
      <c r="BC61" s="185">
        <v>0</v>
      </c>
      <c r="BD61" s="185">
        <v>0</v>
      </c>
      <c r="BE61" s="185">
        <v>626364.68999999994</v>
      </c>
      <c r="BF61" s="185">
        <v>870158.01</v>
      </c>
      <c r="BG61" s="185">
        <v>1871437.43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1671420.22</v>
      </c>
      <c r="BO61" s="185">
        <v>150095.72</v>
      </c>
      <c r="BP61" s="185">
        <v>0</v>
      </c>
      <c r="BQ61" s="185">
        <v>0</v>
      </c>
      <c r="BR61" s="185">
        <v>39483.160000000003</v>
      </c>
      <c r="BS61" s="185">
        <v>0</v>
      </c>
      <c r="BT61" s="185">
        <v>0</v>
      </c>
      <c r="BU61" s="185">
        <v>0</v>
      </c>
      <c r="BV61" s="185">
        <v>578499.38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f>1330753.07+49952.86</f>
        <v>1380705.9300000002</v>
      </c>
      <c r="CD61" s="248" t="s">
        <v>221</v>
      </c>
      <c r="CE61" s="195">
        <f t="shared" si="0"/>
        <v>73295795.819999993</v>
      </c>
      <c r="CF61" s="251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360987</v>
      </c>
      <c r="F62" s="195">
        <f t="shared" si="1"/>
        <v>0</v>
      </c>
      <c r="G62" s="195">
        <f t="shared" si="1"/>
        <v>520851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1279207</v>
      </c>
      <c r="Q62" s="195">
        <f t="shared" si="1"/>
        <v>360998</v>
      </c>
      <c r="R62" s="195">
        <f t="shared" si="1"/>
        <v>0</v>
      </c>
      <c r="S62" s="195">
        <f t="shared" si="1"/>
        <v>107570</v>
      </c>
      <c r="T62" s="195">
        <f t="shared" si="1"/>
        <v>0</v>
      </c>
      <c r="U62" s="195">
        <f t="shared" si="1"/>
        <v>313294</v>
      </c>
      <c r="V62" s="195">
        <f t="shared" si="1"/>
        <v>0</v>
      </c>
      <c r="W62" s="195">
        <f t="shared" si="1"/>
        <v>0</v>
      </c>
      <c r="X62" s="195">
        <f t="shared" si="1"/>
        <v>99171</v>
      </c>
      <c r="Y62" s="195">
        <f t="shared" si="1"/>
        <v>785258</v>
      </c>
      <c r="Z62" s="195">
        <f t="shared" si="1"/>
        <v>0</v>
      </c>
      <c r="AA62" s="195">
        <f t="shared" si="1"/>
        <v>0</v>
      </c>
      <c r="AB62" s="195">
        <f t="shared" si="1"/>
        <v>585304</v>
      </c>
      <c r="AC62" s="195">
        <f t="shared" si="1"/>
        <v>6235</v>
      </c>
      <c r="AD62" s="195">
        <f t="shared" si="1"/>
        <v>0</v>
      </c>
      <c r="AE62" s="195">
        <f t="shared" si="1"/>
        <v>617114</v>
      </c>
      <c r="AF62" s="195">
        <f t="shared" si="1"/>
        <v>0</v>
      </c>
      <c r="AG62" s="195">
        <f t="shared" si="1"/>
        <v>99824</v>
      </c>
      <c r="AH62" s="195">
        <f t="shared" si="1"/>
        <v>0</v>
      </c>
      <c r="AI62" s="195">
        <f t="shared" si="1"/>
        <v>0</v>
      </c>
      <c r="AJ62" s="195">
        <f t="shared" si="1"/>
        <v>4325527</v>
      </c>
      <c r="AK62" s="195">
        <f t="shared" si="1"/>
        <v>349146</v>
      </c>
      <c r="AL62" s="195">
        <f t="shared" si="1"/>
        <v>12629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11710947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128964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218539</v>
      </c>
      <c r="BF62" s="195">
        <f t="shared" si="1"/>
        <v>418013</v>
      </c>
      <c r="BG62" s="195">
        <f t="shared" si="1"/>
        <v>727642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1783101</v>
      </c>
      <c r="BO62" s="195">
        <f t="shared" ref="BO62:CC62" si="2">ROUND(BO47+BO48,0)</f>
        <v>42939</v>
      </c>
      <c r="BP62" s="195">
        <f t="shared" si="2"/>
        <v>0</v>
      </c>
      <c r="BQ62" s="195">
        <f t="shared" si="2"/>
        <v>0</v>
      </c>
      <c r="BR62" s="195">
        <f t="shared" si="2"/>
        <v>4878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254547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429274</v>
      </c>
      <c r="CD62" s="248" t="s">
        <v>221</v>
      </c>
      <c r="CE62" s="195">
        <f t="shared" si="0"/>
        <v>25541959</v>
      </c>
      <c r="CF62" s="251"/>
    </row>
    <row r="63" spans="1:84" ht="12.65" customHeight="1" x14ac:dyDescent="0.35">
      <c r="A63" s="171" t="s">
        <v>236</v>
      </c>
      <c r="B63" s="175"/>
      <c r="C63" s="184"/>
      <c r="D63" s="184"/>
      <c r="E63" s="184">
        <v>30535.5</v>
      </c>
      <c r="F63" s="185"/>
      <c r="G63" s="184">
        <v>15306</v>
      </c>
      <c r="H63" s="184"/>
      <c r="I63" s="185"/>
      <c r="J63" s="185"/>
      <c r="K63" s="185"/>
      <c r="L63" s="185"/>
      <c r="M63" s="184"/>
      <c r="N63" s="184"/>
      <c r="O63" s="184"/>
      <c r="P63" s="185">
        <v>88546.05</v>
      </c>
      <c r="Q63" s="185"/>
      <c r="R63" s="185"/>
      <c r="S63" s="185"/>
      <c r="T63" s="185"/>
      <c r="U63" s="185">
        <v>52042.2</v>
      </c>
      <c r="V63" s="185"/>
      <c r="W63" s="185"/>
      <c r="X63" s="185"/>
      <c r="Y63" s="185">
        <v>68059.199999999997</v>
      </c>
      <c r="Z63" s="185"/>
      <c r="AA63" s="185"/>
      <c r="AB63" s="185">
        <v>9375</v>
      </c>
      <c r="AC63" s="185">
        <v>138734.54</v>
      </c>
      <c r="AD63" s="185"/>
      <c r="AE63" s="185"/>
      <c r="AF63" s="185"/>
      <c r="AG63" s="185">
        <v>277351.2</v>
      </c>
      <c r="AH63" s="185"/>
      <c r="AI63" s="185"/>
      <c r="AJ63" s="185">
        <v>184770.84</v>
      </c>
      <c r="AK63" s="185">
        <v>330</v>
      </c>
      <c r="AL63" s="185"/>
      <c r="AM63" s="185"/>
      <c r="AN63" s="185"/>
      <c r="AO63" s="185"/>
      <c r="AP63" s="185">
        <v>2268840.27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>
        <v>2522.35</v>
      </c>
      <c r="BH63" s="185"/>
      <c r="BI63" s="185"/>
      <c r="BJ63" s="185"/>
      <c r="BK63" s="185"/>
      <c r="BL63" s="185"/>
      <c r="BM63" s="185"/>
      <c r="BN63" s="185">
        <v>101032307.5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f>8432.91-158232.25</f>
        <v>-149799.34</v>
      </c>
      <c r="CD63" s="248" t="s">
        <v>221</v>
      </c>
      <c r="CE63" s="195">
        <f t="shared" si="0"/>
        <v>104018921.31</v>
      </c>
      <c r="CF63" s="251"/>
    </row>
    <row r="64" spans="1:84" ht="12.65" customHeight="1" x14ac:dyDescent="0.35">
      <c r="A64" s="171" t="s">
        <v>237</v>
      </c>
      <c r="B64" s="175"/>
      <c r="C64" s="184"/>
      <c r="D64" s="184"/>
      <c r="E64" s="185">
        <f>77695.44+21842.87</f>
        <v>99538.31</v>
      </c>
      <c r="F64" s="185"/>
      <c r="G64" s="184">
        <f>5251.4+18825.5</f>
        <v>24076.9</v>
      </c>
      <c r="H64" s="184"/>
      <c r="I64" s="185"/>
      <c r="J64" s="185"/>
      <c r="K64" s="185"/>
      <c r="L64" s="185"/>
      <c r="M64" s="184"/>
      <c r="N64" s="184"/>
      <c r="O64" s="184"/>
      <c r="P64" s="185">
        <f>2503879.12+485839.63</f>
        <v>2989718.75</v>
      </c>
      <c r="Q64" s="185">
        <f>23569.01+21235.03</f>
        <v>44804.039999999994</v>
      </c>
      <c r="R64" s="185">
        <v>15.01</v>
      </c>
      <c r="S64" s="185">
        <v>6348132.4900000002</v>
      </c>
      <c r="T64" s="185"/>
      <c r="U64" s="185">
        <f>188523.32+38794.77</f>
        <v>227318.09</v>
      </c>
      <c r="V64" s="185"/>
      <c r="W64" s="185"/>
      <c r="X64" s="185">
        <f>99949.56+877.85</f>
        <v>100827.41</v>
      </c>
      <c r="Y64" s="185">
        <f>212758.82+58676.41</f>
        <v>271435.23</v>
      </c>
      <c r="Z64" s="185"/>
      <c r="AA64" s="185">
        <f>14836.08+5</f>
        <v>14841.08</v>
      </c>
      <c r="AB64" s="185">
        <f>1859624.85+32010.73</f>
        <v>1891635.58</v>
      </c>
      <c r="AC64" s="185">
        <f>588.64+1718.8</f>
        <v>2307.44</v>
      </c>
      <c r="AD64" s="185"/>
      <c r="AE64" s="185">
        <f>24139.46+15158.75</f>
        <v>39298.21</v>
      </c>
      <c r="AF64" s="185"/>
      <c r="AG64" s="185">
        <f>25384.75+49664.48</f>
        <v>75049.23000000001</v>
      </c>
      <c r="AH64" s="185"/>
      <c r="AI64" s="185"/>
      <c r="AJ64" s="185">
        <f>2009915.06+447263.61</f>
        <v>2457178.67</v>
      </c>
      <c r="AK64" s="185">
        <f>34030.74+40594.23</f>
        <v>74624.97</v>
      </c>
      <c r="AL64" s="185">
        <f>2683.38+1416.36</f>
        <v>4099.74</v>
      </c>
      <c r="AM64" s="185"/>
      <c r="AN64" s="185"/>
      <c r="AO64" s="185"/>
      <c r="AP64" s="185">
        <f>4881488.59+1618401.69</f>
        <v>6499890.2799999993</v>
      </c>
      <c r="AQ64" s="185"/>
      <c r="AR64" s="185"/>
      <c r="AS64" s="185"/>
      <c r="AT64" s="185"/>
      <c r="AU64" s="185"/>
      <c r="AV64" s="185"/>
      <c r="AW64" s="185">
        <v>11.7</v>
      </c>
      <c r="AX64" s="185"/>
      <c r="AY64" s="185"/>
      <c r="AZ64" s="185">
        <f>-19563.25+297588.06</f>
        <v>278024.81</v>
      </c>
      <c r="BA64" s="185">
        <f>11013.15+100120.75</f>
        <v>111133.9</v>
      </c>
      <c r="BB64" s="185"/>
      <c r="BC64" s="185"/>
      <c r="BD64" s="185"/>
      <c r="BE64" s="185">
        <f>17355.78-4599.51</f>
        <v>12756.269999999999</v>
      </c>
      <c r="BF64" s="185">
        <f>634604.69-3327.65</f>
        <v>631277.03999999992</v>
      </c>
      <c r="BG64" s="185">
        <f>73.78+12157.56</f>
        <v>12231.34</v>
      </c>
      <c r="BH64" s="185"/>
      <c r="BI64" s="185"/>
      <c r="BJ64" s="185"/>
      <c r="BK64" s="185"/>
      <c r="BL64" s="185"/>
      <c r="BM64" s="185"/>
      <c r="BN64" s="185">
        <f>67158.34-207991.01</f>
        <v>-140832.67000000001</v>
      </c>
      <c r="BO64" s="185">
        <f>92567.49+4618.53</f>
        <v>97186.02</v>
      </c>
      <c r="BP64" s="185">
        <v>54.25</v>
      </c>
      <c r="BQ64" s="185"/>
      <c r="BR64" s="185">
        <v>2130.9699999999998</v>
      </c>
      <c r="BS64" s="185"/>
      <c r="BT64" s="185"/>
      <c r="BU64" s="185"/>
      <c r="BV64" s="185">
        <v>5300.64</v>
      </c>
      <c r="BW64" s="185"/>
      <c r="BX64" s="185"/>
      <c r="BY64" s="185"/>
      <c r="BZ64" s="185"/>
      <c r="CA64" s="185"/>
      <c r="CB64" s="185"/>
      <c r="CC64" s="185">
        <f>496682.04+87125.42+17.36</f>
        <v>583824.81999999995</v>
      </c>
      <c r="CD64" s="248" t="s">
        <v>221</v>
      </c>
      <c r="CE64" s="195">
        <f t="shared" si="0"/>
        <v>22757890.519999992</v>
      </c>
      <c r="CF64" s="251"/>
    </row>
    <row r="65" spans="1:84" ht="12.65" customHeight="1" x14ac:dyDescent="0.35">
      <c r="A65" s="171" t="s">
        <v>238</v>
      </c>
      <c r="B65" s="175"/>
      <c r="C65" s="184"/>
      <c r="D65" s="184"/>
      <c r="E65" s="184">
        <v>11169.62</v>
      </c>
      <c r="F65" s="184"/>
      <c r="G65" s="184">
        <v>10339.1</v>
      </c>
      <c r="H65" s="184"/>
      <c r="I65" s="185"/>
      <c r="J65" s="184"/>
      <c r="K65" s="185"/>
      <c r="L65" s="185"/>
      <c r="M65" s="184"/>
      <c r="N65" s="184"/>
      <c r="O65" s="184"/>
      <c r="P65" s="185">
        <v>35781.85</v>
      </c>
      <c r="Q65" s="185">
        <v>11390.99</v>
      </c>
      <c r="R65" s="185"/>
      <c r="S65" s="185">
        <v>2277.37</v>
      </c>
      <c r="T65" s="185"/>
      <c r="U65" s="185">
        <v>9545.08</v>
      </c>
      <c r="V65" s="185"/>
      <c r="W65" s="185"/>
      <c r="X65" s="185">
        <v>4447.3599999999997</v>
      </c>
      <c r="Y65" s="185">
        <v>21724.79</v>
      </c>
      <c r="Z65" s="185"/>
      <c r="AA65" s="185"/>
      <c r="AB65" s="185">
        <v>4565.82</v>
      </c>
      <c r="AC65" s="185"/>
      <c r="AD65" s="185"/>
      <c r="AE65" s="185">
        <v>22471.88</v>
      </c>
      <c r="AF65" s="185"/>
      <c r="AG65" s="185">
        <v>40</v>
      </c>
      <c r="AH65" s="185"/>
      <c r="AI65" s="185"/>
      <c r="AJ65" s="185">
        <v>86585.22</v>
      </c>
      <c r="AK65" s="185">
        <v>561.37</v>
      </c>
      <c r="AL65" s="185"/>
      <c r="AM65" s="185"/>
      <c r="AN65" s="185"/>
      <c r="AO65" s="185"/>
      <c r="AP65" s="185">
        <v>521422.53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>
        <v>3225.41</v>
      </c>
      <c r="BA65" s="185">
        <v>4765.95</v>
      </c>
      <c r="BB65" s="185"/>
      <c r="BC65" s="185"/>
      <c r="BD65" s="185"/>
      <c r="BE65" s="185">
        <v>23951.29</v>
      </c>
      <c r="BF65" s="185">
        <v>282472.44</v>
      </c>
      <c r="BG65" s="185">
        <v>6728.21</v>
      </c>
      <c r="BH65" s="185">
        <v>1191.42</v>
      </c>
      <c r="BI65" s="185"/>
      <c r="BJ65" s="185"/>
      <c r="BK65" s="185"/>
      <c r="BL65" s="185"/>
      <c r="BM65" s="185"/>
      <c r="BN65" s="185">
        <v>73366.259999999995</v>
      </c>
      <c r="BO65" s="185">
        <v>304.13</v>
      </c>
      <c r="BP65" s="185"/>
      <c r="BQ65" s="185"/>
      <c r="BR65" s="185">
        <v>160</v>
      </c>
      <c r="BS65" s="185"/>
      <c r="BT65" s="185"/>
      <c r="BU65" s="185"/>
      <c r="BV65" s="185">
        <v>2596.4</v>
      </c>
      <c r="BW65" s="185"/>
      <c r="BX65" s="185"/>
      <c r="BY65" s="185"/>
      <c r="BZ65" s="185"/>
      <c r="CA65" s="185"/>
      <c r="CB65" s="185"/>
      <c r="CC65" s="185">
        <f>733.17+248.6</f>
        <v>981.77</v>
      </c>
      <c r="CD65" s="248" t="s">
        <v>221</v>
      </c>
      <c r="CE65" s="195">
        <f t="shared" si="0"/>
        <v>1142066.2599999998</v>
      </c>
      <c r="CF65" s="251"/>
    </row>
    <row r="66" spans="1:84" ht="12.65" customHeight="1" x14ac:dyDescent="0.35">
      <c r="A66" s="171" t="s">
        <v>239</v>
      </c>
      <c r="B66" s="175"/>
      <c r="C66" s="184"/>
      <c r="D66" s="184"/>
      <c r="E66" s="184">
        <v>18539.939999999999</v>
      </c>
      <c r="F66" s="184"/>
      <c r="G66" s="184">
        <v>56427.57</v>
      </c>
      <c r="H66" s="184"/>
      <c r="I66" s="184"/>
      <c r="J66" s="184"/>
      <c r="K66" s="185"/>
      <c r="L66" s="185"/>
      <c r="M66" s="184"/>
      <c r="N66" s="184"/>
      <c r="O66" s="185"/>
      <c r="P66" s="185">
        <v>487413.04</v>
      </c>
      <c r="Q66" s="185">
        <v>1570.62</v>
      </c>
      <c r="R66" s="185">
        <v>5972</v>
      </c>
      <c r="S66" s="184">
        <v>0</v>
      </c>
      <c r="T66" s="184"/>
      <c r="U66" s="185">
        <v>1006276.97</v>
      </c>
      <c r="V66" s="185"/>
      <c r="W66" s="185"/>
      <c r="X66" s="185">
        <v>561028.35</v>
      </c>
      <c r="Y66" s="185">
        <v>2810668.77</v>
      </c>
      <c r="Z66" s="185"/>
      <c r="AA66" s="185">
        <v>395</v>
      </c>
      <c r="AB66" s="185">
        <v>114188.99</v>
      </c>
      <c r="AC66" s="185"/>
      <c r="AD66" s="185"/>
      <c r="AE66" s="185">
        <v>4080.18</v>
      </c>
      <c r="AF66" s="185"/>
      <c r="AG66" s="185">
        <v>5743.46</v>
      </c>
      <c r="AH66" s="185"/>
      <c r="AI66" s="185"/>
      <c r="AJ66" s="185">
        <v>223696.22</v>
      </c>
      <c r="AK66" s="185">
        <v>59554.17</v>
      </c>
      <c r="AL66" s="185"/>
      <c r="AM66" s="185"/>
      <c r="AN66" s="185"/>
      <c r="AO66" s="185"/>
      <c r="AP66" s="185">
        <v>2294895.2200000002</v>
      </c>
      <c r="AQ66" s="185"/>
      <c r="AR66" s="185"/>
      <c r="AS66" s="185"/>
      <c r="AT66" s="185"/>
      <c r="AU66" s="185"/>
      <c r="AV66" s="185">
        <v>4529079.5199999996</v>
      </c>
      <c r="AW66" s="185"/>
      <c r="AX66" s="185"/>
      <c r="AY66" s="185"/>
      <c r="AZ66" s="185">
        <v>9388.85</v>
      </c>
      <c r="BA66" s="185">
        <v>2616.1799999999998</v>
      </c>
      <c r="BB66" s="185"/>
      <c r="BC66" s="185"/>
      <c r="BD66" s="185"/>
      <c r="BE66" s="185">
        <v>1090121.1599999999</v>
      </c>
      <c r="BF66" s="185">
        <v>155554.44</v>
      </c>
      <c r="BG66" s="185">
        <v>60013.31</v>
      </c>
      <c r="BH66" s="185"/>
      <c r="BI66" s="185"/>
      <c r="BJ66" s="185"/>
      <c r="BK66" s="185"/>
      <c r="BL66" s="185"/>
      <c r="BM66" s="185"/>
      <c r="BN66" s="185">
        <v>130716.01</v>
      </c>
      <c r="BO66" s="185">
        <v>34229.410000000003</v>
      </c>
      <c r="BP66" s="185"/>
      <c r="BQ66" s="185"/>
      <c r="BR66" s="185"/>
      <c r="BS66" s="185"/>
      <c r="BT66" s="185"/>
      <c r="BU66" s="185"/>
      <c r="BV66" s="185">
        <v>1033.69</v>
      </c>
      <c r="BW66" s="185"/>
      <c r="BX66" s="185"/>
      <c r="BY66" s="185"/>
      <c r="BZ66" s="185"/>
      <c r="CA66" s="185"/>
      <c r="CB66" s="185"/>
      <c r="CC66" s="185">
        <f>1799870.13+14301.74</f>
        <v>1814171.8699999999</v>
      </c>
      <c r="CD66" s="248" t="s">
        <v>221</v>
      </c>
      <c r="CE66" s="195">
        <f t="shared" si="0"/>
        <v>15477374.939999998</v>
      </c>
      <c r="CF66" s="251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24055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350474</v>
      </c>
      <c r="Q67" s="195">
        <f t="shared" si="3"/>
        <v>4111</v>
      </c>
      <c r="R67" s="195">
        <f t="shared" si="3"/>
        <v>17405</v>
      </c>
      <c r="S67" s="195">
        <f t="shared" si="3"/>
        <v>0</v>
      </c>
      <c r="T67" s="195">
        <f t="shared" si="3"/>
        <v>0</v>
      </c>
      <c r="U67" s="195">
        <f t="shared" si="3"/>
        <v>109175</v>
      </c>
      <c r="V67" s="195">
        <f t="shared" si="3"/>
        <v>0</v>
      </c>
      <c r="W67" s="195">
        <f t="shared" si="3"/>
        <v>0</v>
      </c>
      <c r="X67" s="195">
        <f t="shared" si="3"/>
        <v>4035</v>
      </c>
      <c r="Y67" s="195">
        <f t="shared" si="3"/>
        <v>256857</v>
      </c>
      <c r="Z67" s="195">
        <f t="shared" si="3"/>
        <v>0</v>
      </c>
      <c r="AA67" s="195">
        <f t="shared" si="3"/>
        <v>0</v>
      </c>
      <c r="AB67" s="195">
        <f t="shared" si="3"/>
        <v>33608</v>
      </c>
      <c r="AC67" s="195">
        <f t="shared" si="3"/>
        <v>0</v>
      </c>
      <c r="AD67" s="195">
        <f t="shared" si="3"/>
        <v>0</v>
      </c>
      <c r="AE67" s="195">
        <f t="shared" si="3"/>
        <v>26332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315581</v>
      </c>
      <c r="AK67" s="195">
        <f t="shared" si="3"/>
        <v>826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685939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1055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114191</v>
      </c>
      <c r="BF67" s="195">
        <f t="shared" si="3"/>
        <v>4931</v>
      </c>
      <c r="BG67" s="195">
        <f t="shared" si="3"/>
        <v>38301</v>
      </c>
      <c r="BH67" s="195">
        <f t="shared" si="3"/>
        <v>174299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186745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2347920</v>
      </c>
      <c r="CF67" s="251"/>
    </row>
    <row r="68" spans="1:84" ht="12.65" customHeight="1" x14ac:dyDescent="0.35">
      <c r="A68" s="171" t="s">
        <v>240</v>
      </c>
      <c r="B68" s="175"/>
      <c r="C68" s="184"/>
      <c r="D68" s="184"/>
      <c r="E68" s="184">
        <v>173896.56</v>
      </c>
      <c r="F68" s="184"/>
      <c r="G68" s="184">
        <v>152949.09</v>
      </c>
      <c r="H68" s="184"/>
      <c r="I68" s="184"/>
      <c r="J68" s="184"/>
      <c r="K68" s="185"/>
      <c r="L68" s="185"/>
      <c r="M68" s="184"/>
      <c r="N68" s="184"/>
      <c r="O68" s="184"/>
      <c r="P68" s="185">
        <v>515932.2</v>
      </c>
      <c r="Q68" s="185">
        <v>169736.76</v>
      </c>
      <c r="R68" s="185"/>
      <c r="S68" s="185">
        <v>40356.839999999997</v>
      </c>
      <c r="T68" s="185"/>
      <c r="U68" s="185">
        <v>155979.48000000001</v>
      </c>
      <c r="V68" s="185"/>
      <c r="W68" s="185"/>
      <c r="X68" s="185">
        <v>68732.160000000003</v>
      </c>
      <c r="Y68" s="185">
        <v>427380.44</v>
      </c>
      <c r="Z68" s="185"/>
      <c r="AA68" s="185"/>
      <c r="AB68" s="185">
        <v>64039.74</v>
      </c>
      <c r="AC68" s="185"/>
      <c r="AD68" s="185"/>
      <c r="AE68" s="185">
        <v>204463.56</v>
      </c>
      <c r="AF68" s="185"/>
      <c r="AG68" s="185"/>
      <c r="AH68" s="185"/>
      <c r="AI68" s="185"/>
      <c r="AJ68" s="185">
        <v>1300976.2</v>
      </c>
      <c r="AK68" s="185">
        <v>68581.039999999994</v>
      </c>
      <c r="AL68" s="185"/>
      <c r="AM68" s="185"/>
      <c r="AN68" s="185"/>
      <c r="AO68" s="185"/>
      <c r="AP68" s="185">
        <v>4173523.75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>
        <v>42685.68</v>
      </c>
      <c r="BA68" s="185">
        <v>131505.29</v>
      </c>
      <c r="BB68" s="185"/>
      <c r="BC68" s="185"/>
      <c r="BD68" s="185"/>
      <c r="BE68" s="185">
        <v>48141.599999999999</v>
      </c>
      <c r="BF68" s="185"/>
      <c r="BG68" s="185">
        <v>42146.81</v>
      </c>
      <c r="BH68" s="185">
        <v>18270.599999999999</v>
      </c>
      <c r="BI68" s="185"/>
      <c r="BJ68" s="185"/>
      <c r="BK68" s="185"/>
      <c r="BL68" s="185"/>
      <c r="BM68" s="185"/>
      <c r="BN68" s="185">
        <v>591846.82999999996</v>
      </c>
      <c r="BO68" s="185">
        <v>66.12</v>
      </c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f>14761.7+37.52</f>
        <v>14799.220000000001</v>
      </c>
      <c r="CD68" s="248" t="s">
        <v>221</v>
      </c>
      <c r="CE68" s="195">
        <f t="shared" si="0"/>
        <v>8406009.9699999988</v>
      </c>
      <c r="CF68" s="251"/>
    </row>
    <row r="69" spans="1:84" ht="12.65" customHeight="1" x14ac:dyDescent="0.35">
      <c r="A69" s="171" t="s">
        <v>241</v>
      </c>
      <c r="B69" s="175"/>
      <c r="C69" s="184"/>
      <c r="D69" s="184"/>
      <c r="E69" s="185">
        <v>7418.45</v>
      </c>
      <c r="F69" s="185"/>
      <c r="G69" s="184">
        <v>35303.43</v>
      </c>
      <c r="H69" s="184"/>
      <c r="I69" s="185"/>
      <c r="J69" s="185"/>
      <c r="K69" s="185"/>
      <c r="L69" s="185"/>
      <c r="M69" s="184"/>
      <c r="N69" s="184"/>
      <c r="O69" s="184"/>
      <c r="P69" s="185">
        <v>193520.6</v>
      </c>
      <c r="Q69" s="185">
        <v>3339.81</v>
      </c>
      <c r="R69" s="224">
        <v>190045.26</v>
      </c>
      <c r="S69" s="185">
        <v>5099.3500000000004</v>
      </c>
      <c r="T69" s="184"/>
      <c r="U69" s="185">
        <v>8978.06</v>
      </c>
      <c r="V69" s="185"/>
      <c r="W69" s="184"/>
      <c r="X69" s="185">
        <v>277.3</v>
      </c>
      <c r="Y69" s="185">
        <v>199605.98</v>
      </c>
      <c r="Z69" s="185"/>
      <c r="AA69" s="185"/>
      <c r="AB69" s="185">
        <v>41636.42</v>
      </c>
      <c r="AC69" s="185"/>
      <c r="AD69" s="185"/>
      <c r="AE69" s="185">
        <v>109202.88</v>
      </c>
      <c r="AF69" s="185"/>
      <c r="AG69" s="185">
        <v>7833.2</v>
      </c>
      <c r="AH69" s="185"/>
      <c r="AI69" s="185"/>
      <c r="AJ69" s="185">
        <v>1025658.37</v>
      </c>
      <c r="AK69" s="185">
        <v>26172.43</v>
      </c>
      <c r="AL69" s="185">
        <v>3999.21</v>
      </c>
      <c r="AM69" s="185"/>
      <c r="AN69" s="185"/>
      <c r="AO69" s="184"/>
      <c r="AP69" s="185">
        <v>1755892.65</v>
      </c>
      <c r="AQ69" s="184"/>
      <c r="AR69" s="184"/>
      <c r="AS69" s="184"/>
      <c r="AT69" s="184"/>
      <c r="AU69" s="185"/>
      <c r="AV69" s="185"/>
      <c r="AW69" s="185"/>
      <c r="AX69" s="185"/>
      <c r="AY69" s="185"/>
      <c r="AZ69" s="185">
        <v>2580.52</v>
      </c>
      <c r="BA69" s="185"/>
      <c r="BB69" s="185"/>
      <c r="BC69" s="185"/>
      <c r="BD69" s="185"/>
      <c r="BE69" s="185">
        <v>3948.69</v>
      </c>
      <c r="BF69" s="185">
        <v>7074.15</v>
      </c>
      <c r="BG69" s="185">
        <v>2899.49</v>
      </c>
      <c r="BH69" s="224"/>
      <c r="BI69" s="185"/>
      <c r="BJ69" s="185"/>
      <c r="BK69" s="185"/>
      <c r="BL69" s="185"/>
      <c r="BM69" s="185"/>
      <c r="BN69" s="185">
        <v>4306801.01</v>
      </c>
      <c r="BO69" s="185">
        <v>305</v>
      </c>
      <c r="BP69" s="185">
        <v>236361.38</v>
      </c>
      <c r="BQ69" s="185"/>
      <c r="BR69" s="185">
        <v>115</v>
      </c>
      <c r="BS69" s="185"/>
      <c r="BT69" s="185"/>
      <c r="BU69" s="185"/>
      <c r="BV69" s="185">
        <v>224.94</v>
      </c>
      <c r="BW69" s="185"/>
      <c r="BX69" s="185"/>
      <c r="BY69" s="185"/>
      <c r="BZ69" s="185"/>
      <c r="CA69" s="185"/>
      <c r="CB69" s="185"/>
      <c r="CC69" s="185">
        <f>20262.71+605</f>
        <v>20867.71</v>
      </c>
      <c r="CD69" s="188"/>
      <c r="CE69" s="195">
        <f t="shared" si="0"/>
        <v>8195161.29</v>
      </c>
      <c r="CF69" s="251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1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1844357.6800000002</v>
      </c>
      <c r="F71" s="195">
        <f t="shared" si="5"/>
        <v>0</v>
      </c>
      <c r="G71" s="195">
        <f t="shared" si="5"/>
        <v>2410567.19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10312304.409999996</v>
      </c>
      <c r="Q71" s="195">
        <f t="shared" si="5"/>
        <v>2109816.44</v>
      </c>
      <c r="R71" s="195">
        <f t="shared" si="5"/>
        <v>213437.27000000002</v>
      </c>
      <c r="S71" s="195">
        <f t="shared" si="5"/>
        <v>6769847.5899999999</v>
      </c>
      <c r="T71" s="195">
        <f t="shared" si="5"/>
        <v>0</v>
      </c>
      <c r="U71" s="195">
        <f t="shared" si="5"/>
        <v>2639904.09</v>
      </c>
      <c r="V71" s="195">
        <f t="shared" si="5"/>
        <v>0</v>
      </c>
      <c r="W71" s="195">
        <f t="shared" si="5"/>
        <v>0</v>
      </c>
      <c r="X71" s="195">
        <f t="shared" si="5"/>
        <v>1174063.0299999998</v>
      </c>
      <c r="Y71" s="195">
        <f t="shared" si="5"/>
        <v>7472135.6300000018</v>
      </c>
      <c r="Z71" s="195">
        <f t="shared" si="5"/>
        <v>0</v>
      </c>
      <c r="AA71" s="195">
        <f t="shared" si="5"/>
        <v>15236.08</v>
      </c>
      <c r="AB71" s="195">
        <f t="shared" si="5"/>
        <v>4965869.7800000012</v>
      </c>
      <c r="AC71" s="195">
        <f t="shared" si="5"/>
        <v>170356.35</v>
      </c>
      <c r="AD71" s="195">
        <f t="shared" si="5"/>
        <v>0</v>
      </c>
      <c r="AE71" s="195">
        <f t="shared" si="5"/>
        <v>2711564.0700000003</v>
      </c>
      <c r="AF71" s="195">
        <f t="shared" si="5"/>
        <v>0</v>
      </c>
      <c r="AG71" s="195">
        <f t="shared" si="5"/>
        <v>848947.29999999993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22621695.889999993</v>
      </c>
      <c r="AK71" s="195">
        <f t="shared" si="6"/>
        <v>1543653.9100000001</v>
      </c>
      <c r="AL71" s="195">
        <f t="shared" si="6"/>
        <v>87304.280000000013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65075881.75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4529079.5199999996</v>
      </c>
      <c r="AW71" s="195">
        <f t="shared" si="6"/>
        <v>11.7</v>
      </c>
      <c r="AX71" s="195">
        <f t="shared" si="6"/>
        <v>0</v>
      </c>
      <c r="AY71" s="195">
        <f t="shared" si="6"/>
        <v>0</v>
      </c>
      <c r="AZ71" s="195">
        <f t="shared" si="6"/>
        <v>771059.74000000011</v>
      </c>
      <c r="BA71" s="195">
        <f t="shared" si="6"/>
        <v>250021.32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2138013.6999999997</v>
      </c>
      <c r="BF71" s="195">
        <f t="shared" si="6"/>
        <v>2369480.0799999996</v>
      </c>
      <c r="BG71" s="195">
        <f t="shared" si="6"/>
        <v>2763921.94</v>
      </c>
      <c r="BH71" s="195">
        <f t="shared" si="6"/>
        <v>193761.02000000002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109635471.16000001</v>
      </c>
      <c r="BO71" s="195">
        <f t="shared" si="6"/>
        <v>325125.40000000002</v>
      </c>
      <c r="BP71" s="195">
        <f t="shared" ref="BP71:CC71" si="7">SUM(BP61:BP69)-BP70</f>
        <v>236415.63</v>
      </c>
      <c r="BQ71" s="195">
        <f t="shared" si="7"/>
        <v>0</v>
      </c>
      <c r="BR71" s="195">
        <f t="shared" si="7"/>
        <v>46767.130000000005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842202.04999999993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4094825.98</v>
      </c>
      <c r="CD71" s="244">
        <f>CD69-CD70</f>
        <v>0</v>
      </c>
      <c r="CE71" s="195">
        <f>SUM(CE61:CE69)-CE70</f>
        <v>261183099.10999995</v>
      </c>
      <c r="CF71" s="251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5" customHeight="1" x14ac:dyDescent="0.35">
      <c r="A73" s="171" t="s">
        <v>245</v>
      </c>
      <c r="B73" s="175"/>
      <c r="C73" s="184"/>
      <c r="D73" s="184"/>
      <c r="E73" s="185">
        <v>1835446</v>
      </c>
      <c r="F73" s="185"/>
      <c r="G73" s="184">
        <f>74406+5527467</f>
        <v>5601873</v>
      </c>
      <c r="H73" s="184"/>
      <c r="I73" s="185"/>
      <c r="J73" s="185"/>
      <c r="K73" s="185"/>
      <c r="L73" s="185"/>
      <c r="M73" s="184"/>
      <c r="N73" s="184"/>
      <c r="O73" s="184"/>
      <c r="P73" s="185">
        <f>3696540.49+2053</f>
        <v>3698593.49</v>
      </c>
      <c r="Q73" s="185">
        <v>268289</v>
      </c>
      <c r="R73" s="185">
        <v>101694</v>
      </c>
      <c r="S73" s="185">
        <f>2388963.47+164.68</f>
        <v>2389128.1500000004</v>
      </c>
      <c r="T73" s="185"/>
      <c r="U73" s="185">
        <f>20368+24096</f>
        <v>44464</v>
      </c>
      <c r="V73" s="185">
        <v>0</v>
      </c>
      <c r="W73" s="185">
        <v>0</v>
      </c>
      <c r="X73" s="185">
        <f>10888.74+9109.02</f>
        <v>19997.760000000002</v>
      </c>
      <c r="Y73" s="185">
        <f>22115+14378.78</f>
        <v>36493.78</v>
      </c>
      <c r="Z73" s="185">
        <v>0</v>
      </c>
      <c r="AA73" s="185">
        <v>1508.24</v>
      </c>
      <c r="AB73" s="185">
        <f>218204.11+142303.5</f>
        <v>360507.61</v>
      </c>
      <c r="AC73" s="185">
        <f>14195+26090</f>
        <v>40285</v>
      </c>
      <c r="AD73" s="185">
        <v>0</v>
      </c>
      <c r="AE73" s="185">
        <v>0</v>
      </c>
      <c r="AF73" s="185">
        <v>0</v>
      </c>
      <c r="AG73" s="185">
        <v>42933</v>
      </c>
      <c r="AH73" s="185">
        <v>0</v>
      </c>
      <c r="AI73" s="185">
        <v>0</v>
      </c>
      <c r="AJ73" s="185">
        <f>1264+441</f>
        <v>1705</v>
      </c>
      <c r="AK73" s="185">
        <f>64268+936932</f>
        <v>1001200</v>
      </c>
      <c r="AL73" s="185">
        <f>13717+491350</f>
        <v>505067</v>
      </c>
      <c r="AM73" s="185">
        <v>0</v>
      </c>
      <c r="AN73" s="185">
        <v>0</v>
      </c>
      <c r="AO73" s="185">
        <v>0</v>
      </c>
      <c r="AP73" s="185">
        <v>65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f>210786.7+61010.96</f>
        <v>271797.66000000003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16221047.689999999</v>
      </c>
      <c r="CF73" s="251"/>
    </row>
    <row r="74" spans="1:84" ht="12.65" customHeight="1" x14ac:dyDescent="0.35">
      <c r="A74" s="171" t="s">
        <v>246</v>
      </c>
      <c r="B74" s="175"/>
      <c r="C74" s="184"/>
      <c r="D74" s="184"/>
      <c r="E74" s="185">
        <f>1724892.47</f>
        <v>1724892.47</v>
      </c>
      <c r="F74" s="185"/>
      <c r="G74" s="184">
        <v>172425</v>
      </c>
      <c r="H74" s="184"/>
      <c r="I74" s="184"/>
      <c r="J74" s="185"/>
      <c r="K74" s="185"/>
      <c r="L74" s="185"/>
      <c r="M74" s="184"/>
      <c r="N74" s="184"/>
      <c r="O74" s="184"/>
      <c r="P74" s="185">
        <f>65098319.73+7603605.25</f>
        <v>72701924.979999989</v>
      </c>
      <c r="Q74" s="185">
        <v>6015117.2999999998</v>
      </c>
      <c r="R74" s="185">
        <f>3652238+23326873.1</f>
        <v>26979111.100000001</v>
      </c>
      <c r="S74" s="185">
        <v>12500906.140000001</v>
      </c>
      <c r="T74" s="185"/>
      <c r="U74" s="185">
        <f>1695323.96+534820.56</f>
        <v>2230144.52</v>
      </c>
      <c r="V74" s="185">
        <v>0</v>
      </c>
      <c r="W74" s="185">
        <v>0</v>
      </c>
      <c r="X74" s="185">
        <f>9957664.53+26057.11</f>
        <v>9983721.6399999987</v>
      </c>
      <c r="Y74" s="185">
        <f>1905190.18+38796512.64</f>
        <v>40701702.82</v>
      </c>
      <c r="Z74" s="185"/>
      <c r="AA74" s="185">
        <f>96595.45+11823.38</f>
        <v>108418.83</v>
      </c>
      <c r="AB74" s="185">
        <f>6048015.26</f>
        <v>6048015.2599999998</v>
      </c>
      <c r="AC74" s="185">
        <f>12073.7</f>
        <v>12073.7</v>
      </c>
      <c r="AD74" s="185">
        <v>0</v>
      </c>
      <c r="AE74" s="185">
        <v>4376132.58</v>
      </c>
      <c r="AF74" s="185">
        <v>0</v>
      </c>
      <c r="AG74" s="185">
        <f>2162775.94+518737</f>
        <v>2681512.94</v>
      </c>
      <c r="AH74" s="185">
        <v>0</v>
      </c>
      <c r="AI74" s="185">
        <v>0</v>
      </c>
      <c r="AJ74" s="185">
        <f>23941381.4+67280140.31</f>
        <v>91221521.710000008</v>
      </c>
      <c r="AK74" s="185">
        <f>125044+2543289.14</f>
        <v>2668333.14</v>
      </c>
      <c r="AL74" s="185">
        <v>5282</v>
      </c>
      <c r="AM74" s="185">
        <v>0</v>
      </c>
      <c r="AN74" s="185">
        <v>0</v>
      </c>
      <c r="AO74" s="185">
        <v>0</v>
      </c>
      <c r="AP74" s="185">
        <f>2036959.67+149407155.17</f>
        <v>151444114.83999997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f>8814586.23-2000000</f>
        <v>6814586.2300000004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438389937.19999999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3560338.4699999997</v>
      </c>
      <c r="F75" s="195">
        <f t="shared" si="9"/>
        <v>0</v>
      </c>
      <c r="G75" s="195">
        <f t="shared" si="9"/>
        <v>5774298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76400518.469999984</v>
      </c>
      <c r="Q75" s="195">
        <f t="shared" si="9"/>
        <v>6283406.2999999998</v>
      </c>
      <c r="R75" s="195">
        <f t="shared" si="9"/>
        <v>27080805.100000001</v>
      </c>
      <c r="S75" s="195">
        <f t="shared" si="9"/>
        <v>14890034.290000001</v>
      </c>
      <c r="T75" s="195">
        <f t="shared" si="9"/>
        <v>0</v>
      </c>
      <c r="U75" s="195">
        <f t="shared" si="9"/>
        <v>2274608.52</v>
      </c>
      <c r="V75" s="195">
        <f t="shared" si="9"/>
        <v>0</v>
      </c>
      <c r="W75" s="195">
        <f t="shared" si="9"/>
        <v>0</v>
      </c>
      <c r="X75" s="195">
        <f t="shared" si="9"/>
        <v>10003719.399999999</v>
      </c>
      <c r="Y75" s="195">
        <f t="shared" si="9"/>
        <v>40738196.600000001</v>
      </c>
      <c r="Z75" s="195">
        <f t="shared" si="9"/>
        <v>0</v>
      </c>
      <c r="AA75" s="195">
        <f t="shared" si="9"/>
        <v>109927.07</v>
      </c>
      <c r="AB75" s="195">
        <f t="shared" si="9"/>
        <v>6408522.8700000001</v>
      </c>
      <c r="AC75" s="195">
        <f t="shared" si="9"/>
        <v>52358.7</v>
      </c>
      <c r="AD75" s="195">
        <f t="shared" si="9"/>
        <v>0</v>
      </c>
      <c r="AE75" s="195">
        <f t="shared" si="9"/>
        <v>4376132.58</v>
      </c>
      <c r="AF75" s="195">
        <f t="shared" si="9"/>
        <v>0</v>
      </c>
      <c r="AG75" s="195">
        <f t="shared" si="9"/>
        <v>2724445.94</v>
      </c>
      <c r="AH75" s="195">
        <f t="shared" si="9"/>
        <v>0</v>
      </c>
      <c r="AI75" s="195">
        <f t="shared" si="9"/>
        <v>0</v>
      </c>
      <c r="AJ75" s="195">
        <f t="shared" si="9"/>
        <v>91223226.710000008</v>
      </c>
      <c r="AK75" s="195">
        <f t="shared" si="9"/>
        <v>3669533.14</v>
      </c>
      <c r="AL75" s="195">
        <f t="shared" si="9"/>
        <v>510349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151444179.83999997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7086383.8900000006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454610984.88999993</v>
      </c>
      <c r="CF75" s="251"/>
    </row>
    <row r="76" spans="1:84" ht="12.65" customHeight="1" x14ac:dyDescent="0.35">
      <c r="A76" s="171" t="s">
        <v>248</v>
      </c>
      <c r="B76" s="175"/>
      <c r="C76" s="299"/>
      <c r="D76" s="299"/>
      <c r="E76" s="185">
        <v>6867</v>
      </c>
      <c r="F76" s="185"/>
      <c r="G76" s="299">
        <v>4895</v>
      </c>
      <c r="H76" s="299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>
        <v>0</v>
      </c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>
        <v>0</v>
      </c>
      <c r="AB76" s="185">
        <v>2198</v>
      </c>
      <c r="AC76" s="185">
        <v>0</v>
      </c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>
        <v>0</v>
      </c>
      <c r="AL76" s="185">
        <v>0</v>
      </c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>
        <v>0</v>
      </c>
      <c r="AW76" s="185">
        <v>0</v>
      </c>
      <c r="AX76" s="185">
        <v>0</v>
      </c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248" t="s">
        <v>221</v>
      </c>
      <c r="CE76" s="195">
        <f t="shared" si="8"/>
        <v>375361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1851</v>
      </c>
      <c r="F77" s="184"/>
      <c r="G77" s="184">
        <v>5166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>
        <v>7017</v>
      </c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14034</v>
      </c>
      <c r="CF77" s="195">
        <f>AY59-CE77</f>
        <v>-14034</v>
      </c>
    </row>
    <row r="78" spans="1:84" ht="12.65" customHeight="1" x14ac:dyDescent="0.35">
      <c r="A78" s="171" t="s">
        <v>250</v>
      </c>
      <c r="B78" s="175"/>
      <c r="C78" s="184"/>
      <c r="D78" s="184"/>
      <c r="E78" s="185">
        <v>6867</v>
      </c>
      <c r="F78" s="184"/>
      <c r="G78" s="184">
        <v>4895</v>
      </c>
      <c r="H78" s="184"/>
      <c r="I78" s="184"/>
      <c r="J78" s="184"/>
      <c r="K78" s="184"/>
      <c r="L78" s="184"/>
      <c r="M78" s="184"/>
      <c r="N78" s="184"/>
      <c r="O78" s="184"/>
      <c r="P78" s="184">
        <v>27597</v>
      </c>
      <c r="Q78" s="184">
        <v>6898</v>
      </c>
      <c r="R78" s="184">
        <v>0</v>
      </c>
      <c r="S78" s="184">
        <v>11812</v>
      </c>
      <c r="T78" s="184"/>
      <c r="U78" s="184">
        <v>7833</v>
      </c>
      <c r="V78" s="184"/>
      <c r="W78" s="184"/>
      <c r="X78" s="184">
        <v>3268</v>
      </c>
      <c r="Y78" s="184">
        <v>25353</v>
      </c>
      <c r="Z78" s="184"/>
      <c r="AA78" s="184"/>
      <c r="AB78" s="184">
        <v>2198</v>
      </c>
      <c r="AC78" s="184"/>
      <c r="AD78" s="184"/>
      <c r="AE78" s="184">
        <v>4450</v>
      </c>
      <c r="AF78" s="184"/>
      <c r="AG78" s="184"/>
      <c r="AH78" s="184"/>
      <c r="AI78" s="184"/>
      <c r="AJ78" s="184">
        <v>86795</v>
      </c>
      <c r="AK78" s="184"/>
      <c r="AL78" s="184"/>
      <c r="AM78" s="184"/>
      <c r="AN78" s="184"/>
      <c r="AO78" s="184"/>
      <c r="AP78" s="184">
        <v>97226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3673</v>
      </c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>
        <v>17502</v>
      </c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306367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78808</v>
      </c>
      <c r="F79" s="184"/>
      <c r="G79" s="184">
        <v>2626</v>
      </c>
      <c r="H79" s="184"/>
      <c r="I79" s="184"/>
      <c r="J79" s="184"/>
      <c r="K79" s="184"/>
      <c r="L79" s="184"/>
      <c r="M79" s="184"/>
      <c r="N79" s="184"/>
      <c r="O79" s="184"/>
      <c r="P79" s="184">
        <v>45143</v>
      </c>
      <c r="Q79" s="184"/>
      <c r="R79" s="184"/>
      <c r="S79" s="184"/>
      <c r="T79" s="184"/>
      <c r="U79" s="184">
        <v>1482</v>
      </c>
      <c r="V79" s="184"/>
      <c r="W79" s="184"/>
      <c r="X79" s="184">
        <v>1361</v>
      </c>
      <c r="Y79" s="184">
        <v>44495</v>
      </c>
      <c r="Z79" s="184"/>
      <c r="AA79" s="184">
        <v>17322</v>
      </c>
      <c r="AB79" s="184">
        <v>15</v>
      </c>
      <c r="AC79" s="184"/>
      <c r="AD79" s="184"/>
      <c r="AE79" s="184">
        <v>47487</v>
      </c>
      <c r="AF79" s="184"/>
      <c r="AG79" s="184"/>
      <c r="AH79" s="184"/>
      <c r="AI79" s="184"/>
      <c r="AJ79" s="184">
        <v>33514</v>
      </c>
      <c r="AK79" s="184">
        <v>110</v>
      </c>
      <c r="AL79" s="184"/>
      <c r="AM79" s="184"/>
      <c r="AN79" s="184"/>
      <c r="AO79" s="184"/>
      <c r="AP79" s="184">
        <v>67171</v>
      </c>
      <c r="AQ79" s="184"/>
      <c r="AR79" s="184"/>
      <c r="AS79" s="184"/>
      <c r="AT79" s="184"/>
      <c r="AU79" s="184"/>
      <c r="AV79" s="184">
        <v>115118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454652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7.39</v>
      </c>
      <c r="F80" s="187"/>
      <c r="G80" s="187">
        <v>8.16</v>
      </c>
      <c r="H80" s="187"/>
      <c r="I80" s="187"/>
      <c r="J80" s="187"/>
      <c r="K80" s="187"/>
      <c r="L80" s="187"/>
      <c r="M80" s="187"/>
      <c r="N80" s="187"/>
      <c r="O80" s="187"/>
      <c r="P80" s="187">
        <v>29.54</v>
      </c>
      <c r="Q80" s="187">
        <v>12.55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2.62</v>
      </c>
      <c r="AH80" s="187"/>
      <c r="AI80" s="187"/>
      <c r="AJ80" s="187">
        <v>19.97</v>
      </c>
      <c r="AK80" s="187"/>
      <c r="AL80" s="187"/>
      <c r="AM80" s="187"/>
      <c r="AN80" s="187"/>
      <c r="AO80" s="187"/>
      <c r="AP80" s="187">
        <v>73.430000000000007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153.66</v>
      </c>
      <c r="CF80" s="254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2" t="s">
        <v>1267</v>
      </c>
      <c r="D82" s="255"/>
      <c r="E82" s="175"/>
    </row>
    <row r="83" spans="1:5" ht="12.65" customHeight="1" x14ac:dyDescent="0.35">
      <c r="A83" s="173" t="s">
        <v>255</v>
      </c>
      <c r="B83" s="172" t="s">
        <v>256</v>
      </c>
      <c r="C83" s="314" t="s">
        <v>1268</v>
      </c>
      <c r="D83" s="255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1270</v>
      </c>
      <c r="D84" s="205"/>
      <c r="E84" s="204"/>
    </row>
    <row r="85" spans="1:5" ht="12.65" customHeight="1" x14ac:dyDescent="0.35">
      <c r="A85" s="173" t="s">
        <v>1250</v>
      </c>
      <c r="B85" s="172"/>
      <c r="C85" s="270" t="s">
        <v>1271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29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6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5" customHeight="1" x14ac:dyDescent="0.35">
      <c r="A93" s="173" t="s">
        <v>264</v>
      </c>
      <c r="B93" s="172" t="s">
        <v>256</v>
      </c>
      <c r="C93" s="269"/>
      <c r="D93" s="255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6" t="s">
        <v>266</v>
      </c>
      <c r="B96" s="256"/>
      <c r="C96" s="256"/>
      <c r="D96" s="256"/>
      <c r="E96" s="256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6" t="s">
        <v>269</v>
      </c>
      <c r="B100" s="256"/>
      <c r="C100" s="256"/>
      <c r="D100" s="256"/>
      <c r="E100" s="256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6" t="s">
        <v>271</v>
      </c>
      <c r="B103" s="256"/>
      <c r="C103" s="256"/>
      <c r="D103" s="256"/>
      <c r="E103" s="256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526</v>
      </c>
      <c r="D111" s="174">
        <v>1980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9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5" customHeight="1" x14ac:dyDescent="0.3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200</v>
      </c>
      <c r="C138" s="189">
        <v>41</v>
      </c>
      <c r="D138" s="174">
        <v>80</v>
      </c>
      <c r="E138" s="175">
        <f>SUM(B138:D138)</f>
        <v>321</v>
      </c>
    </row>
    <row r="139" spans="1:6" ht="12.65" customHeight="1" x14ac:dyDescent="0.35">
      <c r="A139" s="173" t="s">
        <v>215</v>
      </c>
      <c r="B139" s="174">
        <f>917+341</f>
        <v>1258</v>
      </c>
      <c r="C139" s="189">
        <v>397</v>
      </c>
      <c r="D139" s="174">
        <v>325</v>
      </c>
      <c r="E139" s="175">
        <f>SUM(B139:D139)</f>
        <v>1980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10884039</v>
      </c>
      <c r="C141" s="189">
        <v>2370347</v>
      </c>
      <c r="D141" s="174">
        <v>5337009</v>
      </c>
      <c r="E141" s="175">
        <f>SUM(B141:D141)</f>
        <v>18591395</v>
      </c>
      <c r="F141" s="199"/>
    </row>
    <row r="142" spans="1:6" ht="12.65" customHeight="1" x14ac:dyDescent="0.35">
      <c r="A142" s="173" t="s">
        <v>246</v>
      </c>
      <c r="B142" s="174">
        <v>191122584</v>
      </c>
      <c r="C142" s="189">
        <v>74062429</v>
      </c>
      <c r="D142" s="174">
        <v>170837592</v>
      </c>
      <c r="E142" s="175">
        <f>SUM(B142:D142)</f>
        <v>436022605</v>
      </c>
      <c r="F142" s="199"/>
    </row>
    <row r="143" spans="1:6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6" t="s">
        <v>306</v>
      </c>
      <c r="B164" s="256"/>
      <c r="C164" s="256"/>
      <c r="D164" s="256"/>
      <c r="E164" s="256"/>
    </row>
    <row r="165" spans="1:5" ht="11.5" customHeight="1" x14ac:dyDescent="0.35">
      <c r="A165" s="173" t="s">
        <v>307</v>
      </c>
      <c r="B165" s="172" t="s">
        <v>256</v>
      </c>
      <c r="C165" s="189">
        <v>5232761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313959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564542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14132287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52710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3654860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1639218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25590337</v>
      </c>
      <c r="E173" s="175"/>
    </row>
    <row r="174" spans="1:5" ht="11.5" customHeight="1" x14ac:dyDescent="0.35">
      <c r="A174" s="256" t="s">
        <v>314</v>
      </c>
      <c r="B174" s="256"/>
      <c r="C174" s="256"/>
      <c r="D174" s="256"/>
      <c r="E174" s="256"/>
    </row>
    <row r="175" spans="1:5" ht="11.5" customHeight="1" x14ac:dyDescent="0.35">
      <c r="A175" s="173" t="s">
        <v>315</v>
      </c>
      <c r="B175" s="172" t="s">
        <v>256</v>
      </c>
      <c r="C175" s="189">
        <v>8251738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152272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8404010</v>
      </c>
      <c r="E177" s="175"/>
    </row>
    <row r="178" spans="1:5" ht="11.5" customHeight="1" x14ac:dyDescent="0.35">
      <c r="A178" s="256" t="s">
        <v>317</v>
      </c>
      <c r="B178" s="256"/>
      <c r="C178" s="256"/>
      <c r="D178" s="256"/>
      <c r="E178" s="256"/>
    </row>
    <row r="179" spans="1:5" ht="11.5" customHeight="1" x14ac:dyDescent="0.35">
      <c r="A179" s="173" t="s">
        <v>318</v>
      </c>
      <c r="B179" s="172" t="s">
        <v>256</v>
      </c>
      <c r="C179" s="189">
        <v>2046556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412203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2458759</v>
      </c>
      <c r="E181" s="175"/>
    </row>
    <row r="182" spans="1:5" ht="11.5" customHeight="1" x14ac:dyDescent="0.35">
      <c r="A182" s="256" t="s">
        <v>320</v>
      </c>
      <c r="B182" s="256"/>
      <c r="C182" s="256"/>
      <c r="D182" s="256"/>
      <c r="E182" s="256"/>
    </row>
    <row r="183" spans="1:5" ht="11.5" customHeight="1" x14ac:dyDescent="0.35">
      <c r="A183" s="173" t="s">
        <v>321</v>
      </c>
      <c r="B183" s="172" t="s">
        <v>256</v>
      </c>
      <c r="C183" s="189">
        <v>25548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2650435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2675983</v>
      </c>
      <c r="E186" s="175"/>
    </row>
    <row r="187" spans="1:5" ht="11.5" customHeight="1" x14ac:dyDescent="0.35">
      <c r="A187" s="256" t="s">
        <v>323</v>
      </c>
      <c r="B187" s="256"/>
      <c r="C187" s="256"/>
      <c r="D187" s="256"/>
      <c r="E187" s="256"/>
    </row>
    <row r="188" spans="1:5" ht="11.5" customHeight="1" x14ac:dyDescent="0.35">
      <c r="A188" s="173" t="s">
        <v>324</v>
      </c>
      <c r="B188" s="172" t="s">
        <v>256</v>
      </c>
      <c r="C188" s="189">
        <v>1040011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1040011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123086</v>
      </c>
      <c r="C195" s="189">
        <v>116908</v>
      </c>
      <c r="D195" s="174"/>
      <c r="E195" s="175">
        <f t="shared" ref="E195:E203" si="10">SUM(B195:C195)-D195</f>
        <v>239994</v>
      </c>
    </row>
    <row r="196" spans="1:8" ht="12.65" customHeight="1" x14ac:dyDescent="0.35">
      <c r="A196" s="173" t="s">
        <v>333</v>
      </c>
      <c r="B196" s="174">
        <v>129369</v>
      </c>
      <c r="C196" s="189"/>
      <c r="D196" s="174">
        <v>-289123</v>
      </c>
      <c r="E196" s="175">
        <f t="shared" si="10"/>
        <v>418492</v>
      </c>
    </row>
    <row r="197" spans="1:8" ht="12.65" customHeight="1" x14ac:dyDescent="0.35">
      <c r="A197" s="173" t="s">
        <v>334</v>
      </c>
      <c r="B197" s="174">
        <v>287380</v>
      </c>
      <c r="C197" s="189">
        <v>364393</v>
      </c>
      <c r="D197" s="174"/>
      <c r="E197" s="175">
        <f t="shared" si="10"/>
        <v>651773</v>
      </c>
    </row>
    <row r="198" spans="1:8" ht="12.65" customHeight="1" x14ac:dyDescent="0.35">
      <c r="A198" s="173" t="s">
        <v>335</v>
      </c>
      <c r="B198" s="174">
        <v>3217436</v>
      </c>
      <c r="C198" s="189">
        <v>303841</v>
      </c>
      <c r="D198" s="174">
        <v>112811.59</v>
      </c>
      <c r="E198" s="175">
        <f t="shared" si="10"/>
        <v>3408465.41</v>
      </c>
    </row>
    <row r="199" spans="1:8" ht="12.65" customHeight="1" x14ac:dyDescent="0.35">
      <c r="A199" s="173" t="s">
        <v>336</v>
      </c>
      <c r="B199" s="174">
        <v>4436456</v>
      </c>
      <c r="C199" s="189">
        <v>80388</v>
      </c>
      <c r="D199" s="174">
        <v>288026</v>
      </c>
      <c r="E199" s="175">
        <f t="shared" si="10"/>
        <v>4228818</v>
      </c>
    </row>
    <row r="200" spans="1:8" ht="12.65" customHeight="1" x14ac:dyDescent="0.35">
      <c r="A200" s="173" t="s">
        <v>337</v>
      </c>
      <c r="B200" s="174">
        <v>17280289</v>
      </c>
      <c r="C200" s="189">
        <v>643254</v>
      </c>
      <c r="D200" s="174">
        <v>645174</v>
      </c>
      <c r="E200" s="175">
        <f t="shared" si="10"/>
        <v>17278369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6563543</v>
      </c>
      <c r="C203" s="189">
        <f>3798286+60992</f>
        <v>3859278</v>
      </c>
      <c r="D203" s="174"/>
      <c r="E203" s="175">
        <f t="shared" si="10"/>
        <v>10422821</v>
      </c>
    </row>
    <row r="204" spans="1:8" ht="12.65" customHeight="1" x14ac:dyDescent="0.35">
      <c r="A204" s="173" t="s">
        <v>203</v>
      </c>
      <c r="B204" s="175">
        <f>SUM(B195:B203)</f>
        <v>32037559</v>
      </c>
      <c r="C204" s="191">
        <f>SUM(C195:C203)</f>
        <v>5368062</v>
      </c>
      <c r="D204" s="175">
        <f>SUM(D195:D203)</f>
        <v>756888.59</v>
      </c>
      <c r="E204" s="175">
        <f>SUM(E195:E203)</f>
        <v>36648732.409999996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5">
      <c r="A209" s="173" t="s">
        <v>333</v>
      </c>
      <c r="B209" s="174">
        <v>20568</v>
      </c>
      <c r="C209" s="189">
        <v>29677</v>
      </c>
      <c r="D209" s="174">
        <v>-122077</v>
      </c>
      <c r="E209" s="175">
        <f t="shared" ref="E209:E216" si="11">SUM(B209:C209)-D209</f>
        <v>172322</v>
      </c>
      <c r="H209" s="258"/>
    </row>
    <row r="210" spans="1:8" ht="12.65" customHeight="1" x14ac:dyDescent="0.35">
      <c r="A210" s="173" t="s">
        <v>334</v>
      </c>
      <c r="B210" s="174">
        <v>73880</v>
      </c>
      <c r="C210" s="189">
        <v>6000</v>
      </c>
      <c r="D210" s="174"/>
      <c r="E210" s="175">
        <f t="shared" si="11"/>
        <v>79880</v>
      </c>
      <c r="H210" s="258"/>
    </row>
    <row r="211" spans="1:8" ht="12.65" customHeight="1" x14ac:dyDescent="0.35">
      <c r="A211" s="173" t="s">
        <v>335</v>
      </c>
      <c r="B211" s="174">
        <v>636163</v>
      </c>
      <c r="C211" s="189">
        <v>208017</v>
      </c>
      <c r="D211" s="174">
        <v>17503</v>
      </c>
      <c r="E211" s="175">
        <f t="shared" si="11"/>
        <v>826677</v>
      </c>
      <c r="H211" s="258"/>
    </row>
    <row r="212" spans="1:8" ht="12.65" customHeight="1" x14ac:dyDescent="0.35">
      <c r="A212" s="173" t="s">
        <v>336</v>
      </c>
      <c r="B212" s="174">
        <v>1841508</v>
      </c>
      <c r="C212" s="189">
        <v>508967</v>
      </c>
      <c r="D212" s="174">
        <v>11022</v>
      </c>
      <c r="E212" s="175">
        <f t="shared" si="11"/>
        <v>2339453</v>
      </c>
      <c r="H212" s="258"/>
    </row>
    <row r="213" spans="1:8" ht="12.65" customHeight="1" x14ac:dyDescent="0.35">
      <c r="A213" s="173" t="s">
        <v>337</v>
      </c>
      <c r="B213" s="174">
        <v>10403424</v>
      </c>
      <c r="C213" s="189">
        <v>1605835</v>
      </c>
      <c r="D213" s="174">
        <v>145055</v>
      </c>
      <c r="E213" s="175">
        <f t="shared" si="11"/>
        <v>11864204</v>
      </c>
      <c r="H213" s="258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5" customHeight="1" x14ac:dyDescent="0.35">
      <c r="A217" s="173" t="s">
        <v>203</v>
      </c>
      <c r="B217" s="175">
        <f>SUM(B208:B216)</f>
        <v>12975543</v>
      </c>
      <c r="C217" s="191">
        <f>SUM(C208:C216)</f>
        <v>2358496</v>
      </c>
      <c r="D217" s="175">
        <f>SUM(D208:D216)</f>
        <v>51503</v>
      </c>
      <c r="E217" s="175">
        <f>SUM(E208:E216)</f>
        <v>15282536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39" t="s">
        <v>1254</v>
      </c>
      <c r="C220" s="339"/>
      <c r="D220" s="208"/>
      <c r="E220" s="208"/>
    </row>
    <row r="221" spans="1:8" ht="12.65" customHeight="1" x14ac:dyDescent="0.35">
      <c r="A221" s="271" t="s">
        <v>1254</v>
      </c>
      <c r="B221" s="208"/>
      <c r="C221" s="189">
        <v>4316512</v>
      </c>
      <c r="D221" s="172">
        <f>C221</f>
        <v>4316512</v>
      </c>
      <c r="E221" s="208"/>
    </row>
    <row r="222" spans="1:8" ht="12.65" customHeight="1" x14ac:dyDescent="0.35">
      <c r="A222" s="256" t="s">
        <v>343</v>
      </c>
      <c r="B222" s="256"/>
      <c r="C222" s="256"/>
      <c r="D222" s="256"/>
      <c r="E222" s="256"/>
    </row>
    <row r="223" spans="1:8" ht="12.65" customHeight="1" x14ac:dyDescent="0.35">
      <c r="A223" s="173" t="s">
        <v>344</v>
      </c>
      <c r="B223" s="172" t="s">
        <v>256</v>
      </c>
      <c r="C223" s="189">
        <v>130780382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52307746.700000003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5408538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467509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4316512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35204608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228485295.69999999</v>
      </c>
      <c r="E229" s="175"/>
    </row>
    <row r="230" spans="1:5" ht="12.65" customHeight="1" x14ac:dyDescent="0.35">
      <c r="A230" s="256" t="s">
        <v>351</v>
      </c>
      <c r="B230" s="256"/>
      <c r="C230" s="256"/>
      <c r="D230" s="256"/>
      <c r="E230" s="256"/>
    </row>
    <row r="231" spans="1:5" ht="12.65" customHeight="1" x14ac:dyDescent="0.35">
      <c r="A231" s="171" t="s">
        <v>352</v>
      </c>
      <c r="B231" s="172" t="s">
        <v>256</v>
      </c>
      <c r="C231" s="189">
        <v>4174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950984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2655841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3606825</v>
      </c>
      <c r="E236" s="175"/>
    </row>
    <row r="237" spans="1:5" ht="12.65" customHeight="1" x14ac:dyDescent="0.35">
      <c r="A237" s="256" t="s">
        <v>356</v>
      </c>
      <c r="B237" s="256"/>
      <c r="C237" s="256"/>
      <c r="D237" s="256"/>
      <c r="E237" s="256"/>
    </row>
    <row r="238" spans="1:5" ht="12.65" customHeight="1" x14ac:dyDescent="0.35">
      <c r="A238" s="173" t="s">
        <v>357</v>
      </c>
      <c r="B238" s="172" t="s">
        <v>256</v>
      </c>
      <c r="C238" s="189">
        <v>-5797361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5238641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-558720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235849912.69999999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6" t="s">
        <v>361</v>
      </c>
      <c r="B249" s="256"/>
      <c r="C249" s="256"/>
      <c r="D249" s="256"/>
      <c r="E249" s="256"/>
    </row>
    <row r="250" spans="1:5" ht="12.65" customHeight="1" x14ac:dyDescent="0.35">
      <c r="A250" s="173" t="s">
        <v>362</v>
      </c>
      <c r="B250" s="172" t="s">
        <v>256</v>
      </c>
      <c r="C250" s="189">
        <v>11588880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26070793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/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3457659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3900929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1265502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1762411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48046174</v>
      </c>
      <c r="E260" s="175"/>
    </row>
    <row r="261" spans="1:5" ht="11.25" customHeight="1" x14ac:dyDescent="0.35">
      <c r="A261" s="256" t="s">
        <v>372</v>
      </c>
      <c r="B261" s="256"/>
      <c r="C261" s="256"/>
      <c r="D261" s="256"/>
      <c r="E261" s="256"/>
    </row>
    <row r="262" spans="1:5" ht="12.65" customHeight="1" x14ac:dyDescent="0.35">
      <c r="A262" s="173" t="s">
        <v>362</v>
      </c>
      <c r="B262" s="172" t="s">
        <v>256</v>
      </c>
      <c r="C262" s="189">
        <v>2000000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2000000</v>
      </c>
      <c r="E265" s="175"/>
    </row>
    <row r="266" spans="1:5" ht="11.25" customHeight="1" x14ac:dyDescent="0.35">
      <c r="A266" s="256" t="s">
        <v>375</v>
      </c>
      <c r="B266" s="256"/>
      <c r="C266" s="256"/>
      <c r="D266" s="256"/>
      <c r="E266" s="256"/>
    </row>
    <row r="267" spans="1:5" ht="12.65" customHeight="1" x14ac:dyDescent="0.35">
      <c r="A267" s="173" t="s">
        <v>332</v>
      </c>
      <c r="B267" s="172" t="s">
        <v>256</v>
      </c>
      <c r="C267" s="189">
        <v>239994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418492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651773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3408465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4228818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17278369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f>10422821-60991</f>
        <v>10361830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36587741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15282532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21305209</v>
      </c>
      <c r="E277" s="175"/>
    </row>
    <row r="278" spans="1:5" ht="12.65" customHeight="1" x14ac:dyDescent="0.35">
      <c r="A278" s="256" t="s">
        <v>382</v>
      </c>
      <c r="B278" s="256"/>
      <c r="C278" s="256"/>
      <c r="D278" s="256"/>
      <c r="E278" s="256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47409180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47409180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6" t="s">
        <v>387</v>
      </c>
      <c r="B285" s="256"/>
      <c r="C285" s="256"/>
      <c r="D285" s="256"/>
      <c r="E285" s="256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118760563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6" t="s">
        <v>395</v>
      </c>
      <c r="B303" s="256"/>
      <c r="C303" s="256"/>
      <c r="D303" s="256"/>
      <c r="E303" s="256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5518708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4414337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6489201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10107904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22805672+917775+5999956+4311328+3307463</f>
        <v>37342194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63872344</v>
      </c>
      <c r="E314" s="175"/>
    </row>
    <row r="315" spans="1:5" ht="12.65" customHeight="1" x14ac:dyDescent="0.35">
      <c r="A315" s="256" t="s">
        <v>406</v>
      </c>
      <c r="B315" s="256"/>
      <c r="C315" s="256"/>
      <c r="D315" s="256"/>
      <c r="E315" s="256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6" t="s">
        <v>411</v>
      </c>
      <c r="B320" s="256"/>
      <c r="C320" s="256"/>
      <c r="D320" s="256"/>
      <c r="E320" s="256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19911693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46710578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66622271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66622271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-11734052</v>
      </c>
      <c r="D332" s="175"/>
      <c r="E332" s="175"/>
    </row>
    <row r="333" spans="1:5" ht="12.65" customHeight="1" x14ac:dyDescent="0.35">
      <c r="A333" s="173"/>
      <c r="B333" s="172"/>
      <c r="C333" s="230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118760563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118760563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189">
        <v>16221048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438392952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454614000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1254</v>
      </c>
      <c r="B363" s="256"/>
      <c r="C363" s="189">
        <v>4316512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189">
        <v>222687938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3606825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5238641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235849916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218764084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189">
        <v>26639325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26639325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245403409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189">
        <v>73290684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25590337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104018921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22757883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1142066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15477376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2490864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8263067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2455759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2132331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1040011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2567061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261226360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-15822951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-15822951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-15822951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Confluence Health: Wenatchee Valley Hospital   H-0     FYE 12/31/2020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526</v>
      </c>
      <c r="C414" s="194">
        <f>E138</f>
        <v>321</v>
      </c>
      <c r="D414" s="179"/>
    </row>
    <row r="415" spans="1:5" ht="12.65" customHeight="1" x14ac:dyDescent="0.35">
      <c r="A415" s="179" t="s">
        <v>464</v>
      </c>
      <c r="B415" s="179">
        <f>D111</f>
        <v>1980</v>
      </c>
      <c r="C415" s="179">
        <f>E139</f>
        <v>1980</v>
      </c>
      <c r="D415" s="194">
        <f>SUM(C59:H59)+N59</f>
        <v>1980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73290684</v>
      </c>
      <c r="C427" s="179">
        <f t="shared" ref="C427:C434" si="13">CE61</f>
        <v>73295795.819999993</v>
      </c>
      <c r="D427" s="179"/>
    </row>
    <row r="428" spans="1:7" ht="12.65" customHeight="1" x14ac:dyDescent="0.35">
      <c r="A428" s="179" t="s">
        <v>3</v>
      </c>
      <c r="B428" s="179">
        <f t="shared" si="12"/>
        <v>25590337</v>
      </c>
      <c r="C428" s="179">
        <f t="shared" si="13"/>
        <v>25541959</v>
      </c>
      <c r="D428" s="179">
        <f>D173</f>
        <v>25590337</v>
      </c>
    </row>
    <row r="429" spans="1:7" ht="12.65" customHeight="1" x14ac:dyDescent="0.35">
      <c r="A429" s="179" t="s">
        <v>236</v>
      </c>
      <c r="B429" s="179">
        <f t="shared" si="12"/>
        <v>104018921</v>
      </c>
      <c r="C429" s="179">
        <f t="shared" si="13"/>
        <v>104018921.31</v>
      </c>
      <c r="D429" s="179"/>
    </row>
    <row r="430" spans="1:7" ht="12.65" customHeight="1" x14ac:dyDescent="0.35">
      <c r="A430" s="179" t="s">
        <v>237</v>
      </c>
      <c r="B430" s="179">
        <f t="shared" si="12"/>
        <v>22757883</v>
      </c>
      <c r="C430" s="179">
        <f t="shared" si="13"/>
        <v>22757890.519999992</v>
      </c>
      <c r="D430" s="179"/>
    </row>
    <row r="431" spans="1:7" ht="12.65" customHeight="1" x14ac:dyDescent="0.35">
      <c r="A431" s="179" t="s">
        <v>444</v>
      </c>
      <c r="B431" s="179">
        <f t="shared" si="12"/>
        <v>1142066</v>
      </c>
      <c r="C431" s="179">
        <f t="shared" si="13"/>
        <v>1142066.2599999998</v>
      </c>
      <c r="D431" s="179"/>
    </row>
    <row r="432" spans="1:7" ht="12.65" customHeight="1" x14ac:dyDescent="0.35">
      <c r="A432" s="179" t="s">
        <v>445</v>
      </c>
      <c r="B432" s="179">
        <f t="shared" si="12"/>
        <v>15477376</v>
      </c>
      <c r="C432" s="179">
        <f t="shared" si="13"/>
        <v>15477374.939999998</v>
      </c>
      <c r="D432" s="179"/>
    </row>
    <row r="433" spans="1:7" ht="12.65" customHeight="1" x14ac:dyDescent="0.35">
      <c r="A433" s="179" t="s">
        <v>6</v>
      </c>
      <c r="B433" s="179">
        <f t="shared" si="12"/>
        <v>2490864</v>
      </c>
      <c r="C433" s="179">
        <f t="shared" si="13"/>
        <v>2347920</v>
      </c>
      <c r="D433" s="179">
        <f>C217</f>
        <v>2358496</v>
      </c>
    </row>
    <row r="434" spans="1:7" ht="12.65" customHeight="1" x14ac:dyDescent="0.35">
      <c r="A434" s="179" t="s">
        <v>474</v>
      </c>
      <c r="B434" s="179">
        <f t="shared" si="12"/>
        <v>8263067</v>
      </c>
      <c r="C434" s="179">
        <f t="shared" si="13"/>
        <v>8406009.9699999988</v>
      </c>
      <c r="D434" s="179">
        <f>D177</f>
        <v>8404010</v>
      </c>
    </row>
    <row r="435" spans="1:7" ht="12.65" customHeight="1" x14ac:dyDescent="0.35">
      <c r="A435" s="179" t="s">
        <v>447</v>
      </c>
      <c r="B435" s="179">
        <f t="shared" si="12"/>
        <v>2455759</v>
      </c>
      <c r="C435" s="179"/>
      <c r="D435" s="179">
        <f>D181</f>
        <v>2458759</v>
      </c>
    </row>
    <row r="436" spans="1:7" ht="12.65" customHeight="1" x14ac:dyDescent="0.35">
      <c r="A436" s="179" t="s">
        <v>475</v>
      </c>
      <c r="B436" s="179">
        <f t="shared" si="12"/>
        <v>2132331</v>
      </c>
      <c r="C436" s="179"/>
      <c r="D436" s="179">
        <f>D186</f>
        <v>2675983</v>
      </c>
    </row>
    <row r="437" spans="1:7" ht="12.65" customHeight="1" x14ac:dyDescent="0.35">
      <c r="A437" s="194" t="s">
        <v>449</v>
      </c>
      <c r="B437" s="194">
        <f t="shared" si="12"/>
        <v>1040011</v>
      </c>
      <c r="C437" s="194"/>
      <c r="D437" s="194">
        <f>D190</f>
        <v>1040011</v>
      </c>
    </row>
    <row r="438" spans="1:7" ht="12.65" customHeight="1" x14ac:dyDescent="0.35">
      <c r="A438" s="194" t="s">
        <v>476</v>
      </c>
      <c r="B438" s="194">
        <f>C386+C387+C388</f>
        <v>5628101</v>
      </c>
      <c r="C438" s="194">
        <f>CD69</f>
        <v>0</v>
      </c>
      <c r="D438" s="194">
        <f>D181+D186+D190</f>
        <v>6174753</v>
      </c>
    </row>
    <row r="439" spans="1:7" ht="12.65" customHeight="1" x14ac:dyDescent="0.35">
      <c r="A439" s="179" t="s">
        <v>451</v>
      </c>
      <c r="B439" s="194">
        <f>C389</f>
        <v>2567061</v>
      </c>
      <c r="C439" s="194">
        <f>SUM(C69:CC69)</f>
        <v>8195161.29</v>
      </c>
      <c r="D439" s="179"/>
    </row>
    <row r="440" spans="1:7" ht="12.65" customHeight="1" x14ac:dyDescent="0.35">
      <c r="A440" s="179" t="s">
        <v>477</v>
      </c>
      <c r="B440" s="194">
        <f>B438+B439</f>
        <v>8195162</v>
      </c>
      <c r="C440" s="194">
        <f>CE69</f>
        <v>8195161.29</v>
      </c>
      <c r="D440" s="179"/>
    </row>
    <row r="441" spans="1:7" ht="12.65" customHeight="1" x14ac:dyDescent="0.35">
      <c r="A441" s="179" t="s">
        <v>478</v>
      </c>
      <c r="B441" s="179">
        <f>D390</f>
        <v>261226360</v>
      </c>
      <c r="C441" s="179">
        <f>SUM(C427:C437)+C440</f>
        <v>261183099.10999995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4316512</v>
      </c>
      <c r="C444" s="179">
        <f>C363</f>
        <v>4316512</v>
      </c>
      <c r="D444" s="179"/>
    </row>
    <row r="445" spans="1:7" ht="12.65" customHeight="1" x14ac:dyDescent="0.35">
      <c r="A445" s="179" t="s">
        <v>343</v>
      </c>
      <c r="B445" s="179">
        <f>D229</f>
        <v>228485295.69999999</v>
      </c>
      <c r="C445" s="179">
        <f>C364</f>
        <v>222687938</v>
      </c>
      <c r="D445" s="179"/>
    </row>
    <row r="446" spans="1:7" ht="12.65" customHeight="1" x14ac:dyDescent="0.35">
      <c r="A446" s="179" t="s">
        <v>351</v>
      </c>
      <c r="B446" s="179">
        <f>D236</f>
        <v>3606825</v>
      </c>
      <c r="C446" s="179">
        <f>C365</f>
        <v>3606825</v>
      </c>
      <c r="D446" s="179"/>
    </row>
    <row r="447" spans="1:7" ht="12.65" customHeight="1" x14ac:dyDescent="0.35">
      <c r="A447" s="179" t="s">
        <v>356</v>
      </c>
      <c r="B447" s="179">
        <f>D240</f>
        <v>-558720</v>
      </c>
      <c r="C447" s="179">
        <f>C366</f>
        <v>5238641</v>
      </c>
      <c r="D447" s="179"/>
    </row>
    <row r="448" spans="1:7" ht="12.65" customHeight="1" x14ac:dyDescent="0.35">
      <c r="A448" s="179" t="s">
        <v>358</v>
      </c>
      <c r="B448" s="179">
        <f>D242</f>
        <v>235849912.69999999</v>
      </c>
      <c r="C448" s="179">
        <f>D367</f>
        <v>235849916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4174</v>
      </c>
    </row>
    <row r="454" spans="1:7" ht="12.65" customHeight="1" x14ac:dyDescent="0.35">
      <c r="A454" s="179" t="s">
        <v>168</v>
      </c>
      <c r="B454" s="179">
        <f>C233</f>
        <v>950984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2655841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26639325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16221048</v>
      </c>
      <c r="C463" s="194">
        <f>CE73</f>
        <v>16221047.689999999</v>
      </c>
      <c r="D463" s="194">
        <f>E141+E147+E153</f>
        <v>18591395</v>
      </c>
    </row>
    <row r="464" spans="1:7" ht="12.65" customHeight="1" x14ac:dyDescent="0.35">
      <c r="A464" s="179" t="s">
        <v>246</v>
      </c>
      <c r="B464" s="194">
        <f>C360</f>
        <v>438392952</v>
      </c>
      <c r="C464" s="194">
        <f>CE74</f>
        <v>438389937.19999999</v>
      </c>
      <c r="D464" s="194">
        <f>E142+E148+E154</f>
        <v>436022605</v>
      </c>
    </row>
    <row r="465" spans="1:7" ht="12.65" customHeight="1" x14ac:dyDescent="0.35">
      <c r="A465" s="179" t="s">
        <v>247</v>
      </c>
      <c r="B465" s="194">
        <f>D361</f>
        <v>454614000</v>
      </c>
      <c r="C465" s="194">
        <f>CE75</f>
        <v>454610984.88999993</v>
      </c>
      <c r="D465" s="194">
        <f>D463+D464</f>
        <v>454614000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239994</v>
      </c>
      <c r="C468" s="179">
        <f>E195</f>
        <v>239994</v>
      </c>
      <c r="D468" s="179"/>
    </row>
    <row r="469" spans="1:7" ht="12.65" customHeight="1" x14ac:dyDescent="0.35">
      <c r="A469" s="179" t="s">
        <v>333</v>
      </c>
      <c r="B469" s="179">
        <f t="shared" si="14"/>
        <v>418492</v>
      </c>
      <c r="C469" s="179">
        <f>E196</f>
        <v>418492</v>
      </c>
      <c r="D469" s="179"/>
    </row>
    <row r="470" spans="1:7" ht="12.65" customHeight="1" x14ac:dyDescent="0.35">
      <c r="A470" s="179" t="s">
        <v>334</v>
      </c>
      <c r="B470" s="179">
        <f t="shared" si="14"/>
        <v>651773</v>
      </c>
      <c r="C470" s="179">
        <f>E197</f>
        <v>651773</v>
      </c>
      <c r="D470" s="179"/>
    </row>
    <row r="471" spans="1:7" ht="12.65" customHeight="1" x14ac:dyDescent="0.35">
      <c r="A471" s="179" t="s">
        <v>494</v>
      </c>
      <c r="B471" s="179">
        <f t="shared" si="14"/>
        <v>3408465</v>
      </c>
      <c r="C471" s="179">
        <f>E198</f>
        <v>3408465.41</v>
      </c>
      <c r="D471" s="179"/>
    </row>
    <row r="472" spans="1:7" ht="12.65" customHeight="1" x14ac:dyDescent="0.35">
      <c r="A472" s="179" t="s">
        <v>377</v>
      </c>
      <c r="B472" s="179">
        <f t="shared" si="14"/>
        <v>4228818</v>
      </c>
      <c r="C472" s="179">
        <f>E199</f>
        <v>4228818</v>
      </c>
      <c r="D472" s="179"/>
    </row>
    <row r="473" spans="1:7" ht="12.65" customHeight="1" x14ac:dyDescent="0.35">
      <c r="A473" s="179" t="s">
        <v>495</v>
      </c>
      <c r="B473" s="179">
        <f t="shared" si="14"/>
        <v>17278369</v>
      </c>
      <c r="C473" s="179">
        <f>SUM(E200:E201)</f>
        <v>17278369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10361830</v>
      </c>
      <c r="C475" s="179">
        <f>E203</f>
        <v>10422821</v>
      </c>
      <c r="D475" s="179"/>
    </row>
    <row r="476" spans="1:7" ht="12.65" customHeight="1" x14ac:dyDescent="0.35">
      <c r="A476" s="179" t="s">
        <v>203</v>
      </c>
      <c r="B476" s="179">
        <f>D275</f>
        <v>36587741</v>
      </c>
      <c r="C476" s="179">
        <f>E204</f>
        <v>36648732.409999996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15282532</v>
      </c>
      <c r="C478" s="179">
        <f>E217</f>
        <v>15282536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118760563</v>
      </c>
    </row>
    <row r="482" spans="1:12" ht="12.65" customHeight="1" x14ac:dyDescent="0.35">
      <c r="A482" s="180" t="s">
        <v>499</v>
      </c>
      <c r="C482" s="180">
        <f>D339</f>
        <v>118760563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205</v>
      </c>
      <c r="B493" s="260" t="str">
        <f>RIGHT('Prior Year'!C83,4)</f>
        <v>205</v>
      </c>
      <c r="C493" s="260" t="str">
        <f>RIGHT(C82,4)</f>
        <v>2020</v>
      </c>
      <c r="D493" s="260" t="str">
        <f>RIGHT('Prior Year'!C83,4)</f>
        <v>205</v>
      </c>
      <c r="E493" s="260" t="str">
        <f>RIGHT(C82,4)</f>
        <v>2020</v>
      </c>
      <c r="F493" s="260" t="str">
        <f>RIGHT('Prior Year'!C83,4)</f>
        <v>205</v>
      </c>
      <c r="G493" s="260" t="str">
        <f>RIGHT(C82,4)</f>
        <v>2020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f>'Prior Year'!E71</f>
        <v>1765574</v>
      </c>
      <c r="C498" s="239">
        <f>E71</f>
        <v>1844357.6800000002</v>
      </c>
      <c r="D498" s="239">
        <f>'Prior Year'!E59</f>
        <v>665</v>
      </c>
      <c r="E498" s="180">
        <f>E59</f>
        <v>526</v>
      </c>
      <c r="F498" s="262">
        <f t="shared" si="15"/>
        <v>2654.9984962406015</v>
      </c>
      <c r="G498" s="262">
        <f t="shared" si="15"/>
        <v>3506.3834220532322</v>
      </c>
      <c r="H498" s="264">
        <f t="shared" si="16"/>
        <v>0.32067247006661814</v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f>'Prior Year'!G71</f>
        <v>2616447</v>
      </c>
      <c r="C500" s="239">
        <f>G71</f>
        <v>2410567.19</v>
      </c>
      <c r="D500" s="239">
        <f>'Prior Year'!G59</f>
        <v>1640</v>
      </c>
      <c r="E500" s="180">
        <f>G59</f>
        <v>1454</v>
      </c>
      <c r="F500" s="262">
        <f t="shared" si="15"/>
        <v>1595.3945121951219</v>
      </c>
      <c r="G500" s="262">
        <f t="shared" si="15"/>
        <v>1657.886650618982</v>
      </c>
      <c r="H500" s="264" t="str">
        <f t="shared" si="16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f>'Prior Year'!P71</f>
        <v>10148154</v>
      </c>
      <c r="C509" s="239">
        <f>P71</f>
        <v>10312304.409999996</v>
      </c>
      <c r="D509" s="239">
        <f>'Prior Year'!P59</f>
        <v>375935</v>
      </c>
      <c r="E509" s="180">
        <f>P59</f>
        <v>343021</v>
      </c>
      <c r="F509" s="262">
        <f t="shared" si="15"/>
        <v>26.9944378682485</v>
      </c>
      <c r="G509" s="262">
        <f t="shared" si="15"/>
        <v>30.063186831126949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f>'Prior Year'!Q71</f>
        <v>2263487</v>
      </c>
      <c r="C510" s="239">
        <f>Q71</f>
        <v>2109816.44</v>
      </c>
      <c r="D510" s="239">
        <f>'Prior Year'!Q59</f>
        <v>182118</v>
      </c>
      <c r="E510" s="180">
        <f>Q59</f>
        <v>162207</v>
      </c>
      <c r="F510" s="262">
        <f t="shared" si="15"/>
        <v>12.428683600742376</v>
      </c>
      <c r="G510" s="262">
        <f t="shared" si="15"/>
        <v>13.006938294894795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f>'Prior Year'!R71</f>
        <v>236649</v>
      </c>
      <c r="C511" s="239">
        <f>R71</f>
        <v>213437.27000000002</v>
      </c>
      <c r="D511" s="239">
        <f>'Prior Year'!R59</f>
        <v>384901</v>
      </c>
      <c r="E511" s="180">
        <f>R59</f>
        <v>348049</v>
      </c>
      <c r="F511" s="262">
        <f t="shared" si="15"/>
        <v>0.61483082662814592</v>
      </c>
      <c r="G511" s="262">
        <f t="shared" si="15"/>
        <v>0.6132391416151175</v>
      </c>
      <c r="H511" s="264" t="str">
        <f t="shared" si="16"/>
        <v/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f>'Prior Year'!S71</f>
        <v>7139536</v>
      </c>
      <c r="C512" s="239">
        <f>S71</f>
        <v>6769847.5899999999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5">
      <c r="A513" s="180" t="s">
        <v>1245</v>
      </c>
      <c r="B513" s="239">
        <f>'Prior Year'!T71</f>
        <v>1166.68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f>'Prior Year'!U71</f>
        <v>2588996</v>
      </c>
      <c r="C514" s="239">
        <f>U71</f>
        <v>2639904.09</v>
      </c>
      <c r="D514" s="239">
        <f>'Prior Year'!U59</f>
        <v>16716</v>
      </c>
      <c r="E514" s="180">
        <f>U59</f>
        <v>24362</v>
      </c>
      <c r="F514" s="262">
        <f t="shared" si="17"/>
        <v>154.88131131849724</v>
      </c>
      <c r="G514" s="262">
        <f t="shared" si="17"/>
        <v>108.36155036532304</v>
      </c>
      <c r="H514" s="264">
        <f t="shared" si="16"/>
        <v>-0.30035748378647942</v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f>'Prior Year'!X71</f>
        <v>1360116</v>
      </c>
      <c r="C517" s="239">
        <f>X71</f>
        <v>1174063.0299999998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f>'Prior Year'!Y71</f>
        <v>11285946</v>
      </c>
      <c r="C518" s="239">
        <f>Y71</f>
        <v>7472135.6300000018</v>
      </c>
      <c r="D518" s="239">
        <f>'Prior Year'!Y59</f>
        <v>702181</v>
      </c>
      <c r="E518" s="180">
        <f>Y59</f>
        <v>481421</v>
      </c>
      <c r="F518" s="262">
        <f t="shared" si="17"/>
        <v>16.072702052604669</v>
      </c>
      <c r="G518" s="262">
        <f t="shared" si="17"/>
        <v>15.521000600306181</v>
      </c>
      <c r="H518" s="264" t="str">
        <f t="shared" si="16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f>'Prior Year'!AA71</f>
        <v>12646</v>
      </c>
      <c r="C520" s="239">
        <f>AA71</f>
        <v>15236.08</v>
      </c>
      <c r="D520" s="239">
        <f>'Prior Year'!AA59</f>
        <v>566</v>
      </c>
      <c r="E520" s="180">
        <f>AA59</f>
        <v>0</v>
      </c>
      <c r="F520" s="262">
        <f t="shared" si="17"/>
        <v>22.342756183745582</v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f>'Prior Year'!AB71</f>
        <v>3871421</v>
      </c>
      <c r="C521" s="239">
        <f>AB71</f>
        <v>4965869.7800000012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f>'Prior Year'!AC71</f>
        <v>96672</v>
      </c>
      <c r="C522" s="239">
        <f>AC71</f>
        <v>170356.35</v>
      </c>
      <c r="D522" s="239">
        <f>'Prior Year'!AC59</f>
        <v>0</v>
      </c>
      <c r="E522" s="180">
        <f>AC59</f>
        <v>492</v>
      </c>
      <c r="F522" s="262" t="str">
        <f t="shared" si="17"/>
        <v/>
      </c>
      <c r="G522" s="262">
        <f t="shared" si="17"/>
        <v>346.25274390243902</v>
      </c>
      <c r="H522" s="264" t="str">
        <f t="shared" si="16"/>
        <v/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f>'Prior Year'!AE71</f>
        <v>2988571</v>
      </c>
      <c r="C524" s="239">
        <f>AE71</f>
        <v>2711564.0700000003</v>
      </c>
      <c r="D524" s="239">
        <f>'Prior Year'!AE59</f>
        <v>91567</v>
      </c>
      <c r="E524" s="180">
        <f>AE59</f>
        <v>17397</v>
      </c>
      <c r="F524" s="262">
        <f t="shared" si="17"/>
        <v>32.638079220679941</v>
      </c>
      <c r="G524" s="262">
        <f t="shared" si="17"/>
        <v>155.86388860148304</v>
      </c>
      <c r="H524" s="264">
        <f t="shared" si="16"/>
        <v>3.7755227122166399</v>
      </c>
      <c r="I524" s="266" t="s">
        <v>1279</v>
      </c>
      <c r="K524" s="260"/>
      <c r="L524" s="260"/>
    </row>
    <row r="525" spans="1:12" ht="12.65" customHeight="1" x14ac:dyDescent="0.3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f>'Prior Year'!AG71</f>
        <v>0</v>
      </c>
      <c r="C526" s="239">
        <f>AG71</f>
        <v>848947.29999999993</v>
      </c>
      <c r="D526" s="239">
        <f>'Prior Year'!AG59</f>
        <v>0</v>
      </c>
      <c r="E526" s="180">
        <f>AG59</f>
        <v>3247</v>
      </c>
      <c r="F526" s="262" t="str">
        <f t="shared" si="17"/>
        <v/>
      </c>
      <c r="G526" s="262">
        <f t="shared" si="17"/>
        <v>261.45589775177086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f>'Prior Year'!AJ71</f>
        <v>33539386</v>
      </c>
      <c r="C529" s="239">
        <f>AJ71</f>
        <v>22621695.889999993</v>
      </c>
      <c r="D529" s="239">
        <f>'Prior Year'!AJ59</f>
        <v>199478</v>
      </c>
      <c r="E529" s="180">
        <f>AJ59</f>
        <v>151643</v>
      </c>
      <c r="F529" s="262">
        <f t="shared" si="18"/>
        <v>168.1357643449403</v>
      </c>
      <c r="G529" s="262">
        <f t="shared" si="18"/>
        <v>149.1773170538699</v>
      </c>
      <c r="H529" s="264" t="str">
        <f t="shared" si="16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f>'Prior Year'!AK71</f>
        <v>1781008</v>
      </c>
      <c r="C530" s="239">
        <f>AK71</f>
        <v>1543653.9100000001</v>
      </c>
      <c r="D530" s="239">
        <f>'Prior Year'!AK59</f>
        <v>8987</v>
      </c>
      <c r="E530" s="180">
        <f>AK59</f>
        <v>7648</v>
      </c>
      <c r="F530" s="262">
        <f t="shared" si="18"/>
        <v>198.17603204628909</v>
      </c>
      <c r="G530" s="262">
        <f t="shared" si="18"/>
        <v>201.83759283472804</v>
      </c>
      <c r="H530" s="264" t="str">
        <f t="shared" si="16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f>'Prior Year'!AL71</f>
        <v>125413</v>
      </c>
      <c r="C531" s="239">
        <f>AL71</f>
        <v>87304.280000000013</v>
      </c>
      <c r="D531" s="239">
        <f>'Prior Year'!AL59</f>
        <v>0</v>
      </c>
      <c r="E531" s="180">
        <f>AL59</f>
        <v>1022</v>
      </c>
      <c r="F531" s="262" t="str">
        <f t="shared" si="18"/>
        <v/>
      </c>
      <c r="G531" s="262">
        <f t="shared" si="18"/>
        <v>85.424931506849333</v>
      </c>
      <c r="H531" s="264" t="str">
        <f t="shared" si="16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5">
      <c r="A533" s="180" t="s">
        <v>1246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f>'Prior Year'!AP71</f>
        <v>69086558</v>
      </c>
      <c r="C535" s="239">
        <f>AP71</f>
        <v>65075881.75</v>
      </c>
      <c r="D535" s="239">
        <f>'Prior Year'!AP59</f>
        <v>486083</v>
      </c>
      <c r="E535" s="180">
        <f>AP59</f>
        <v>548322</v>
      </c>
      <c r="F535" s="262">
        <f t="shared" si="18"/>
        <v>142.12913843932003</v>
      </c>
      <c r="G535" s="262">
        <f t="shared" si="18"/>
        <v>118.68187260405382</v>
      </c>
      <c r="H535" s="264" t="str">
        <f t="shared" si="16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f>'Prior Year'!AV71</f>
        <v>5276978</v>
      </c>
      <c r="C541" s="239">
        <f>AV71</f>
        <v>4529079.5199999996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1247</v>
      </c>
      <c r="B542" s="239">
        <f>'Prior Year'!AW71</f>
        <v>-189</v>
      </c>
      <c r="C542" s="239">
        <f>AW71</f>
        <v>11.7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f>'Prior Year'!AY71</f>
        <v>0</v>
      </c>
      <c r="C544" s="239">
        <f>AY71</f>
        <v>0</v>
      </c>
      <c r="D544" s="239">
        <f>'Prior Year'!AY59</f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f>'Prior Year'!AZ71</f>
        <v>977439</v>
      </c>
      <c r="C545" s="239">
        <f>AZ71</f>
        <v>771059.74000000011</v>
      </c>
      <c r="D545" s="239">
        <f>'Prior Year'!AZ59</f>
        <v>6915</v>
      </c>
      <c r="E545" s="180">
        <f>AZ59</f>
        <v>7017</v>
      </c>
      <c r="F545" s="262">
        <f t="shared" si="19"/>
        <v>141.35054229934923</v>
      </c>
      <c r="G545" s="262">
        <f t="shared" si="19"/>
        <v>109.88452900099759</v>
      </c>
      <c r="H545" s="264" t="str">
        <f t="shared" si="16"/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f>'Prior Year'!BA71</f>
        <v>62308</v>
      </c>
      <c r="C546" s="239">
        <f>BA71</f>
        <v>250021.32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f>'Prior Year'!BE71</f>
        <v>2292944</v>
      </c>
      <c r="C550" s="239">
        <f>BE71</f>
        <v>2138013.6999999997</v>
      </c>
      <c r="D550" s="239">
        <f>'Prior Year'!BE59</f>
        <v>375361</v>
      </c>
      <c r="E550" s="180">
        <f>BE59</f>
        <v>375361</v>
      </c>
      <c r="F550" s="262">
        <f t="shared" si="19"/>
        <v>6.1086367523530685</v>
      </c>
      <c r="G550" s="262">
        <f t="shared" si="19"/>
        <v>5.6958866264742465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f>'Prior Year'!BF71</f>
        <v>2399676</v>
      </c>
      <c r="C551" s="239">
        <f>BF71</f>
        <v>2369480.0799999996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f>'Prior Year'!BG71</f>
        <v>958553</v>
      </c>
      <c r="C552" s="239">
        <f>BG71</f>
        <v>2763921.94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f>'Prior Year'!BH71</f>
        <v>274102</v>
      </c>
      <c r="C553" s="239">
        <f>BH71</f>
        <v>193761.02000000002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f>'Prior Year'!BK71</f>
        <v>143170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f>'Prior Year'!BL71</f>
        <v>0</v>
      </c>
      <c r="C557" s="239">
        <f>BL71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f>'Prior Year'!BN71</f>
        <v>131137098</v>
      </c>
      <c r="C559" s="239">
        <f>BN71</f>
        <v>109635471.16000001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f>'Prior Year'!BO71</f>
        <v>110309</v>
      </c>
      <c r="C560" s="239">
        <f>BO71</f>
        <v>325125.40000000002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f>'Prior Year'!BP71</f>
        <v>0</v>
      </c>
      <c r="C561" s="239">
        <f>BP71</f>
        <v>236415.63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f>'Prior Year'!BR71</f>
        <v>156</v>
      </c>
      <c r="C563" s="239">
        <f>BR71</f>
        <v>46767.130000000005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1248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f>'Prior Year'!BV71</f>
        <v>227516</v>
      </c>
      <c r="C567" s="239">
        <f>BV71</f>
        <v>842202.04999999993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f>'Prior Year'!BY71</f>
        <v>0</v>
      </c>
      <c r="C570" s="239">
        <f>BY71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f>'Prior Year'!CB71</f>
        <v>2983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f>'Prior Year'!CC71</f>
        <v>-361729</v>
      </c>
      <c r="C574" s="239">
        <f>CC71</f>
        <v>4094825.98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>
        <f>'Prior Year'!CD71</f>
        <v>-22987690</v>
      </c>
      <c r="C575" s="239">
        <f>CD71</f>
        <v>0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359698</v>
      </c>
      <c r="E612" s="180">
        <f>SUM(C624:D647)+SUM(C668:D713)</f>
        <v>144153045.71509266</v>
      </c>
      <c r="F612" s="180">
        <f>CE64-(AX64+BD64+BE64+BG64+BJ64+BN64+BP64+BQ64+CB64+CC64+CD64)</f>
        <v>22289856.50999999</v>
      </c>
      <c r="G612" s="180">
        <f>CE77-(AX77+AY77+BD77+BE77+BG77+BJ77+BN77+BP77+BQ77+CB77+CC77+CD77)</f>
        <v>14034</v>
      </c>
      <c r="H612" s="197">
        <f>CE60-(AX60+AY60+AZ60+BD60+BE60+BG60+BJ60+BN60+BO60+BP60+BQ60+BR60+CB60+CC60+CD60)</f>
        <v>970.6400000000001</v>
      </c>
      <c r="I612" s="180">
        <f>CE78-(AX78+AY78+AZ78+BD78+BE78+BF78+BG78+BJ78+BN78+BO78+BP78+BQ78+BR78+CB78+CC78+CD78)</f>
        <v>306367</v>
      </c>
      <c r="J612" s="180">
        <f>CE79-(AX79+AY79+AZ79+BA79+BD79+BE79+BF79+BG79+BJ79+BN79+BO79+BP79+BQ79+BR79+CB79+CC79+CD79)</f>
        <v>454652</v>
      </c>
      <c r="K612" s="180">
        <f>CE75-(AW75+AX75+AY75+AZ75+BA75+BB75+BC75+BD75+BE75+BF75+BG75+BH75+BI75+BJ75+BK75+BL75+BM75+BN75+BO75+BP75+BQ75+BR75+BS75+BT75+BU75+BV75+BW75+BX75+CB75+CC75+CD75)</f>
        <v>454610984.88999993</v>
      </c>
      <c r="L612" s="197">
        <f>CE80-(AW80+AX80+AY80+AZ80+BA80+BB80+BC80+BD80+BE80+BF80+BG80+BH80+BI80+BJ80+BK80+BL80+BM80+BN80+BO80+BP80+BQ80+BR80+BS80+BT80+BU80+BV80+BW80+BX80+BY80+BZ80+CA80+CB80+CC80+CD80)</f>
        <v>153.66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2138013.6999999997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0</v>
      </c>
      <c r="D615" s="265">
        <f>SUM(C614:C615)</f>
        <v>2138013.6999999997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3489.077064370666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2763921.94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109635471.16000001</v>
      </c>
      <c r="D619" s="180">
        <f>(D615/D612)*BN76</f>
        <v>109778.13339329102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4094825.98</v>
      </c>
      <c r="D620" s="180">
        <f>(D615/D612)*CC76</f>
        <v>186151.47444967719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236415.63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117030053.39490736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46767.130000000005</v>
      </c>
      <c r="D626" s="180">
        <f>(D615/D612)*BR76</f>
        <v>0</v>
      </c>
      <c r="E626" s="180">
        <f>(E623/E612)*SUM(C626:D626)</f>
        <v>37967.700882601195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325125.40000000002</v>
      </c>
      <c r="D627" s="180">
        <f>(D615/D612)*BO76</f>
        <v>0</v>
      </c>
      <c r="E627" s="180">
        <f>(E623/E612)*SUM(C627:D627)</f>
        <v>263951.71002659487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771059.74000000011</v>
      </c>
      <c r="D628" s="180">
        <f>(D615/D612)*AZ76</f>
        <v>9759.9055190743329</v>
      </c>
      <c r="E628" s="180">
        <f>(E623/E612)*SUM(C628:D628)</f>
        <v>633905.19675521913</v>
      </c>
      <c r="F628" s="180">
        <f>(F624/F612)*AZ64</f>
        <v>0</v>
      </c>
      <c r="G628" s="180">
        <f>(G625/G612)*AZ77</f>
        <v>0</v>
      </c>
      <c r="H628" s="180">
        <f>SUM(C626:G628)</f>
        <v>2088536.7831834899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2369480.0799999996</v>
      </c>
      <c r="D629" s="180">
        <f>(D615/D612)*BF76</f>
        <v>7816.2458937775564</v>
      </c>
      <c r="E629" s="180">
        <f>(E623/E612)*SUM(C629:D629)</f>
        <v>1929998.1805777205</v>
      </c>
      <c r="F629" s="180">
        <f>(F624/F612)*BF64</f>
        <v>0</v>
      </c>
      <c r="G629" s="180">
        <f>(G625/G612)*BF77</f>
        <v>0</v>
      </c>
      <c r="H629" s="180">
        <f>(H628/H612)*BF60</f>
        <v>47359.15952141743</v>
      </c>
      <c r="I629" s="180">
        <f>SUM(C629:H629)</f>
        <v>4354653.6659929156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250021.32</v>
      </c>
      <c r="D630" s="180">
        <f>(D615/D612)*BA76</f>
        <v>0</v>
      </c>
      <c r="E630" s="180">
        <f>(E623/E612)*SUM(C630:D630)</f>
        <v>202978.77359660761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453000.09359660762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11.7</v>
      </c>
      <c r="D631" s="180">
        <f>(D615/D612)*AW76</f>
        <v>0</v>
      </c>
      <c r="E631" s="180">
        <f>(E623/E612)*SUM(C631:D631)</f>
        <v>9.498596564006256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193761.02000000002</v>
      </c>
      <c r="D636" s="180">
        <f>(D615/D612)*BH76</f>
        <v>21831.993283532294</v>
      </c>
      <c r="E636" s="180">
        <f>(E623/E612)*SUM(C636:D636)</f>
        <v>175028.29531612952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52207.460056703167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842202.04999999993</v>
      </c>
      <c r="D642" s="180">
        <f>(D615/D612)*BV76</f>
        <v>104030.36930258159</v>
      </c>
      <c r="E642" s="180">
        <f>(E623/E612)*SUM(C642:D642)</f>
        <v>768194.87237084017</v>
      </c>
      <c r="F642" s="180">
        <f>(F624/F612)*BV64</f>
        <v>0</v>
      </c>
      <c r="G642" s="180">
        <f>(G625/G612)*BV77</f>
        <v>0</v>
      </c>
      <c r="H642" s="180">
        <f>(H628/H612)*BV60</f>
        <v>30080.920041318292</v>
      </c>
      <c r="I642" s="180">
        <f>(I629/I612)*BV78</f>
        <v>248770.75031647665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2436128.9292841456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123667076.84999999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1844357.6800000002</v>
      </c>
      <c r="D670" s="180">
        <f>(D615/D612)*E76</f>
        <v>40816.852131232306</v>
      </c>
      <c r="E670" s="180">
        <f>(E623/E612)*SUM(C670:D670)</f>
        <v>1530471.1396114384</v>
      </c>
      <c r="F670" s="180">
        <f>(F624/F612)*E64</f>
        <v>0</v>
      </c>
      <c r="G670" s="180">
        <f>(G625/G612)*E77</f>
        <v>0</v>
      </c>
      <c r="H670" s="180">
        <f>(H628/H612)*E60</f>
        <v>32211.113949823666</v>
      </c>
      <c r="I670" s="180">
        <f>(I629/I612)*E78</f>
        <v>97606.487397054356</v>
      </c>
      <c r="J670" s="180">
        <f>(J630/J612)*E79</f>
        <v>78521.663549619159</v>
      </c>
      <c r="K670" s="180">
        <f>(K644/K612)*E75</f>
        <v>19078.825266197484</v>
      </c>
      <c r="L670" s="180">
        <f>(L647/L612)*E80</f>
        <v>0</v>
      </c>
      <c r="M670" s="180">
        <f t="shared" si="20"/>
        <v>1798706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2410567.19</v>
      </c>
      <c r="D672" s="180">
        <f>(D615/D612)*G76</f>
        <v>29095.455247179576</v>
      </c>
      <c r="E672" s="180">
        <f>(E623/E612)*SUM(C672:D672)</f>
        <v>1980630.0187589126</v>
      </c>
      <c r="F672" s="180">
        <f>(F624/F612)*G64</f>
        <v>0</v>
      </c>
      <c r="G672" s="180">
        <f>(G625/G612)*G77</f>
        <v>0</v>
      </c>
      <c r="H672" s="180">
        <f>(H628/H612)*G60</f>
        <v>44196.144323939749</v>
      </c>
      <c r="I672" s="180">
        <f>(I629/I612)*G78</f>
        <v>69576.781099254556</v>
      </c>
      <c r="J672" s="180">
        <f>(J630/J612)*G79</f>
        <v>2616.4588427735753</v>
      </c>
      <c r="K672" s="180">
        <f>(K644/K612)*G75</f>
        <v>30942.794766631727</v>
      </c>
      <c r="L672" s="180">
        <f>(L647/L612)*G80</f>
        <v>0</v>
      </c>
      <c r="M672" s="180">
        <f t="shared" si="20"/>
        <v>2157058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10312304.409999996</v>
      </c>
      <c r="D681" s="180">
        <f>(D615/D612)*P76</f>
        <v>164034.17333123897</v>
      </c>
      <c r="E681" s="180">
        <f>(E623/E612)*SUM(C681:D681)</f>
        <v>8505172.1086321585</v>
      </c>
      <c r="F681" s="180">
        <f>(F624/F612)*P64</f>
        <v>0</v>
      </c>
      <c r="G681" s="180">
        <f>(G625/G612)*P77</f>
        <v>0</v>
      </c>
      <c r="H681" s="180">
        <f>(H628/H612)*P60</f>
        <v>115224.12505097242</v>
      </c>
      <c r="I681" s="180">
        <f>(I629/I612)*P78</f>
        <v>392259.53585212014</v>
      </c>
      <c r="J681" s="180">
        <f>(J630/J612)*P79</f>
        <v>44978.980022592354</v>
      </c>
      <c r="K681" s="180">
        <f>(K644/K612)*P75</f>
        <v>409408.30609737599</v>
      </c>
      <c r="L681" s="180">
        <f>(L647/L612)*P80</f>
        <v>0</v>
      </c>
      <c r="M681" s="180">
        <f t="shared" si="20"/>
        <v>9631077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2109816.44</v>
      </c>
      <c r="D682" s="180">
        <f>(D615/D612)*Q76</f>
        <v>41001.113441275731</v>
      </c>
      <c r="E682" s="180">
        <f>(E623/E612)*SUM(C682:D682)</f>
        <v>1746132.32674544</v>
      </c>
      <c r="F682" s="180">
        <f>(F624/F612)*Q64</f>
        <v>0</v>
      </c>
      <c r="G682" s="180">
        <f>(G625/G612)*Q77</f>
        <v>0</v>
      </c>
      <c r="H682" s="180">
        <f>(H628/H612)*Q60</f>
        <v>36557.570207582095</v>
      </c>
      <c r="I682" s="180">
        <f>(I629/I612)*Q78</f>
        <v>98047.116654271289</v>
      </c>
      <c r="J682" s="180">
        <f>(J630/J612)*Q79</f>
        <v>0</v>
      </c>
      <c r="K682" s="180">
        <f>(K644/K612)*Q75</f>
        <v>33670.959063120885</v>
      </c>
      <c r="L682" s="180">
        <f>(L647/L612)*Q80</f>
        <v>0</v>
      </c>
      <c r="M682" s="180">
        <f t="shared" si="20"/>
        <v>1955409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213437.27000000002</v>
      </c>
      <c r="D683" s="180">
        <f>(D615/D612)*R76</f>
        <v>0</v>
      </c>
      <c r="E683" s="180">
        <f>(E623/E612)*SUM(C683:D683)</f>
        <v>173278.16405580138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145118.21078933816</v>
      </c>
      <c r="L683" s="180">
        <f>(L647/L612)*R80</f>
        <v>0</v>
      </c>
      <c r="M683" s="180">
        <f t="shared" si="20"/>
        <v>318396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6769847.5899999999</v>
      </c>
      <c r="D684" s="180">
        <f>(D615/D612)*S76</f>
        <v>70209.503039772244</v>
      </c>
      <c r="E684" s="180">
        <f>(E623/E612)*SUM(C684:D684)</f>
        <v>5553072.0343208723</v>
      </c>
      <c r="F684" s="180">
        <f>(F624/F612)*S64</f>
        <v>0</v>
      </c>
      <c r="G684" s="180">
        <f>(G625/G612)*S77</f>
        <v>0</v>
      </c>
      <c r="H684" s="180">
        <f>(H628/H612)*S60</f>
        <v>12824.197671406082</v>
      </c>
      <c r="I684" s="180">
        <f>(I629/I612)*S78</f>
        <v>167893.9608466588</v>
      </c>
      <c r="J684" s="180">
        <f>(J630/J612)*S79</f>
        <v>0</v>
      </c>
      <c r="K684" s="180">
        <f>(K644/K612)*S75</f>
        <v>79791.391975886756</v>
      </c>
      <c r="L684" s="180">
        <f>(L647/L612)*S80</f>
        <v>0</v>
      </c>
      <c r="M684" s="180">
        <f t="shared" si="20"/>
        <v>5883791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2639904.09</v>
      </c>
      <c r="D686" s="180">
        <f>(D615/D612)*U76</f>
        <v>46558.672308714529</v>
      </c>
      <c r="E686" s="180">
        <f>(E623/E612)*SUM(C686:D686)</f>
        <v>2180993.6720851548</v>
      </c>
      <c r="F686" s="180">
        <f>(F624/F612)*U64</f>
        <v>0</v>
      </c>
      <c r="G686" s="180">
        <f>(G625/G612)*U77</f>
        <v>0</v>
      </c>
      <c r="H686" s="180">
        <f>(H628/H612)*U60</f>
        <v>38558.661454965943</v>
      </c>
      <c r="I686" s="180">
        <f>(I629/I612)*U78</f>
        <v>111337.06360581428</v>
      </c>
      <c r="J686" s="180">
        <f>(J630/J612)*U79</f>
        <v>1476.6153865157801</v>
      </c>
      <c r="K686" s="180">
        <f>(K644/K612)*U75</f>
        <v>12188.969916133863</v>
      </c>
      <c r="L686" s="180">
        <f>(L647/L612)*U80</f>
        <v>0</v>
      </c>
      <c r="M686" s="180">
        <f t="shared" si="20"/>
        <v>2391114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1174063.0299999998</v>
      </c>
      <c r="D689" s="180">
        <f>(D615/D612)*X76</f>
        <v>19424.708426513349</v>
      </c>
      <c r="E689" s="180">
        <f>(E623/E612)*SUM(C689:D689)</f>
        <v>968928.07960698078</v>
      </c>
      <c r="F689" s="180">
        <f>(F624/F612)*X64</f>
        <v>0</v>
      </c>
      <c r="G689" s="180">
        <f>(G625/G612)*X77</f>
        <v>0</v>
      </c>
      <c r="H689" s="180">
        <f>(H628/H612)*X60</f>
        <v>10263.661559162249</v>
      </c>
      <c r="I689" s="180">
        <f>(I629/I612)*X78</f>
        <v>46450.852018869031</v>
      </c>
      <c r="J689" s="180">
        <f>(J630/J612)*X79</f>
        <v>1356.0550209500518</v>
      </c>
      <c r="K689" s="180">
        <f>(K644/K612)*X75</f>
        <v>53607.042154244933</v>
      </c>
      <c r="L689" s="180">
        <f>(L647/L612)*X80</f>
        <v>0</v>
      </c>
      <c r="M689" s="180">
        <f t="shared" si="20"/>
        <v>1100030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7472135.6300000018</v>
      </c>
      <c r="D690" s="180">
        <f>(D615/D612)*Y76</f>
        <v>150696.03204938586</v>
      </c>
      <c r="E690" s="180">
        <f>(E623/E612)*SUM(C690:D690)</f>
        <v>6188564.3276188392</v>
      </c>
      <c r="F690" s="180">
        <f>(F624/F612)*Y64</f>
        <v>0</v>
      </c>
      <c r="G690" s="180">
        <f>(G625/G612)*Y77</f>
        <v>0</v>
      </c>
      <c r="H690" s="180">
        <f>(H628/H612)*Y60</f>
        <v>79204.482598063405</v>
      </c>
      <c r="I690" s="180">
        <f>(I629/I612)*Y78</f>
        <v>360363.66316841694</v>
      </c>
      <c r="J690" s="180">
        <f>(J630/J612)*Y79</f>
        <v>44333.334428488284</v>
      </c>
      <c r="K690" s="180">
        <f>(K644/K612)*Y75</f>
        <v>218304.2261685307</v>
      </c>
      <c r="L690" s="180">
        <f>(L647/L612)*Y80</f>
        <v>0</v>
      </c>
      <c r="M690" s="180">
        <f t="shared" si="20"/>
        <v>7041466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15236.08</v>
      </c>
      <c r="D692" s="180">
        <f>(D615/D612)*AA76</f>
        <v>0</v>
      </c>
      <c r="E692" s="180">
        <f>(E623/E612)*SUM(C692:D692)</f>
        <v>12369.348473241407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17259.063242392946</v>
      </c>
      <c r="K692" s="180">
        <f>(K644/K612)*AA75</f>
        <v>589.06740980586028</v>
      </c>
      <c r="L692" s="180">
        <f>(L647/L612)*AA80</f>
        <v>0</v>
      </c>
      <c r="M692" s="180">
        <f t="shared" si="20"/>
        <v>30217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4965869.7800000012</v>
      </c>
      <c r="D693" s="180">
        <f>(D615/D612)*AB76</f>
        <v>13064.721273401574</v>
      </c>
      <c r="E693" s="180">
        <f>(E623/E612)*SUM(C693:D693)</f>
        <v>4042127.3629237395</v>
      </c>
      <c r="F693" s="180">
        <f>(F624/F612)*AB64</f>
        <v>0</v>
      </c>
      <c r="G693" s="180">
        <f>(G625/G612)*AB77</f>
        <v>0</v>
      </c>
      <c r="H693" s="180">
        <f>(H628/H612)*AB60</f>
        <v>45035.311621229746</v>
      </c>
      <c r="I693" s="180">
        <f>(I629/I612)*AB78</f>
        <v>31242.035721381311</v>
      </c>
      <c r="J693" s="180">
        <f>(J630/J612)*AB79</f>
        <v>14.945499863520041</v>
      </c>
      <c r="K693" s="180">
        <f>(K644/K612)*AB75</f>
        <v>34341.422615125812</v>
      </c>
      <c r="L693" s="180">
        <f>(L647/L612)*AB80</f>
        <v>0</v>
      </c>
      <c r="M693" s="180">
        <f t="shared" si="20"/>
        <v>4165826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170356.35</v>
      </c>
      <c r="D694" s="180">
        <f>(D615/D612)*AC76</f>
        <v>0</v>
      </c>
      <c r="E694" s="180">
        <f>(E623/E612)*SUM(C694:D694)</f>
        <v>138303.09750142286</v>
      </c>
      <c r="F694" s="180">
        <f>(F624/F612)*AC64</f>
        <v>0</v>
      </c>
      <c r="G694" s="180">
        <f>(G625/G612)*AC77</f>
        <v>0</v>
      </c>
      <c r="H694" s="180">
        <f>(H628/H612)*AC60</f>
        <v>580.96197504691986</v>
      </c>
      <c r="I694" s="180">
        <f>(I629/I612)*AC78</f>
        <v>0</v>
      </c>
      <c r="J694" s="180">
        <f>(J630/J612)*AC79</f>
        <v>0</v>
      </c>
      <c r="K694" s="180">
        <f>(K644/K612)*AC75</f>
        <v>280.57514668408879</v>
      </c>
      <c r="L694" s="180">
        <f>(L647/L612)*AC80</f>
        <v>0</v>
      </c>
      <c r="M694" s="180">
        <f t="shared" si="20"/>
        <v>139165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2711564.0700000003</v>
      </c>
      <c r="D696" s="180">
        <f>(D615/D612)*AE76</f>
        <v>26450.413861072338</v>
      </c>
      <c r="E696" s="180">
        <f>(E623/E612)*SUM(C696:D696)</f>
        <v>2222845.7238121494</v>
      </c>
      <c r="F696" s="180">
        <f>(F624/F612)*AE64</f>
        <v>0</v>
      </c>
      <c r="G696" s="180">
        <f>(G625/G612)*AE77</f>
        <v>0</v>
      </c>
      <c r="H696" s="180">
        <f>(H628/H612)*AE60</f>
        <v>49102.045446558186</v>
      </c>
      <c r="I696" s="180">
        <f>(I629/I612)*AE78</f>
        <v>63251.619181140508</v>
      </c>
      <c r="J696" s="180">
        <f>(J630/J612)*AE79</f>
        <v>47314.463467931746</v>
      </c>
      <c r="K696" s="180">
        <f>(K644/K612)*AE75</f>
        <v>23450.430215847988</v>
      </c>
      <c r="L696" s="180">
        <f>(L647/L612)*AE80</f>
        <v>0</v>
      </c>
      <c r="M696" s="180">
        <f t="shared" si="20"/>
        <v>2432415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848947.29999999993</v>
      </c>
      <c r="D698" s="180">
        <f>(D615/D612)*AG76</f>
        <v>0</v>
      </c>
      <c r="E698" s="180">
        <f>(E623/E612)*SUM(C698:D698)</f>
        <v>689214.3510087512</v>
      </c>
      <c r="F698" s="180">
        <f>(F624/F612)*AG64</f>
        <v>0</v>
      </c>
      <c r="G698" s="180">
        <f>(G625/G612)*AG77</f>
        <v>0</v>
      </c>
      <c r="H698" s="180">
        <f>(H628/H612)*AG60</f>
        <v>9080.2204988814865</v>
      </c>
      <c r="I698" s="180">
        <f>(I629/I612)*AG78</f>
        <v>0</v>
      </c>
      <c r="J698" s="180">
        <f>(J630/J612)*AG79</f>
        <v>0</v>
      </c>
      <c r="K698" s="180">
        <f>(K644/K612)*AG75</f>
        <v>14599.518690272489</v>
      </c>
      <c r="L698" s="180">
        <f>(L647/L612)*AG80</f>
        <v>0</v>
      </c>
      <c r="M698" s="180">
        <f t="shared" si="20"/>
        <v>712894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22621695.889999993</v>
      </c>
      <c r="D701" s="180">
        <f>(D615/D612)*AJ76</f>
        <v>515901.94855545479</v>
      </c>
      <c r="E701" s="180">
        <f>(E623/E612)*SUM(C701:D701)</f>
        <v>18784163.019543707</v>
      </c>
      <c r="F701" s="180">
        <f>(F624/F612)*AJ64</f>
        <v>0</v>
      </c>
      <c r="G701" s="180">
        <f>(G625/G612)*AJ77</f>
        <v>0</v>
      </c>
      <c r="H701" s="180">
        <f>(H628/H612)*AJ60</f>
        <v>417066.14675312769</v>
      </c>
      <c r="I701" s="180">
        <f>(I629/I612)*AJ78</f>
        <v>1233690.8509723798</v>
      </c>
      <c r="J701" s="180">
        <f>(J630/J612)*AJ79</f>
        <v>33392.232161734049</v>
      </c>
      <c r="K701" s="180">
        <f>(K644/K612)*AJ75</f>
        <v>488838.91722204979</v>
      </c>
      <c r="L701" s="180">
        <f>(L647/L612)*AJ80</f>
        <v>0</v>
      </c>
      <c r="M701" s="180">
        <f t="shared" si="20"/>
        <v>21473053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1543653.9100000001</v>
      </c>
      <c r="D702" s="180">
        <f>(D615/D612)*AK76</f>
        <v>0</v>
      </c>
      <c r="E702" s="180">
        <f>(E623/E612)*SUM(C702:D702)</f>
        <v>1253209.0363710108</v>
      </c>
      <c r="F702" s="180">
        <f>(F624/F612)*AK64</f>
        <v>0</v>
      </c>
      <c r="G702" s="180">
        <f>(G625/G612)*AK77</f>
        <v>0</v>
      </c>
      <c r="H702" s="180">
        <f>(H628/H612)*AK60</f>
        <v>27821.623471691379</v>
      </c>
      <c r="I702" s="180">
        <f>(I629/I612)*AK78</f>
        <v>0</v>
      </c>
      <c r="J702" s="180">
        <f>(J630/J612)*AK79</f>
        <v>109.60033233248031</v>
      </c>
      <c r="K702" s="180">
        <f>(K644/K612)*AK75</f>
        <v>19663.96795599633</v>
      </c>
      <c r="L702" s="180">
        <f>(L647/L612)*AK80</f>
        <v>0</v>
      </c>
      <c r="M702" s="180">
        <f t="shared" si="20"/>
        <v>1300804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87304.280000000013</v>
      </c>
      <c r="D703" s="180">
        <f>(D615/D612)*AL76</f>
        <v>0</v>
      </c>
      <c r="E703" s="180">
        <f>(E623/E612)*SUM(C703:D703)</f>
        <v>70877.618293251304</v>
      </c>
      <c r="F703" s="180">
        <f>(F624/F612)*AL64</f>
        <v>0</v>
      </c>
      <c r="G703" s="180">
        <f>(G625/G612)*AL77</f>
        <v>0</v>
      </c>
      <c r="H703" s="180">
        <f>(H628/H612)*AL60</f>
        <v>1398.6121621499922</v>
      </c>
      <c r="I703" s="180">
        <f>(I629/I612)*AL78</f>
        <v>0</v>
      </c>
      <c r="J703" s="180">
        <f>(J630/J612)*AL79</f>
        <v>0</v>
      </c>
      <c r="K703" s="180">
        <f>(K644/K612)*AL75</f>
        <v>2734.8128493464892</v>
      </c>
      <c r="L703" s="180">
        <f>(L647/L612)*AL80</f>
        <v>0</v>
      </c>
      <c r="M703" s="180">
        <f t="shared" si="20"/>
        <v>75011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65075881.75</v>
      </c>
      <c r="D707" s="180">
        <f>(D615/D612)*AP76</f>
        <v>577902.90742845379</v>
      </c>
      <c r="E707" s="180">
        <f>(E623/E612)*SUM(C707:D707)</f>
        <v>53300753.278722785</v>
      </c>
      <c r="F707" s="180">
        <f>(F624/F612)*AP64</f>
        <v>0</v>
      </c>
      <c r="G707" s="180">
        <f>(G625/G612)*AP77</f>
        <v>0</v>
      </c>
      <c r="H707" s="180">
        <f>(H628/H612)*AP60</f>
        <v>1091971.8248761531</v>
      </c>
      <c r="I707" s="180">
        <f>(I629/I612)*AP78</f>
        <v>1381955.4891023745</v>
      </c>
      <c r="J707" s="180">
        <f>(J630/J612)*AP79</f>
        <v>66926.944755500313</v>
      </c>
      <c r="K707" s="180">
        <f>(K644/K612)*AP75</f>
        <v>811545.60699672671</v>
      </c>
      <c r="L707" s="180">
        <f>(L647/L612)*AP80</f>
        <v>0</v>
      </c>
      <c r="M707" s="180">
        <f t="shared" si="20"/>
        <v>57231056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4529079.5199999996</v>
      </c>
      <c r="D713" s="180">
        <f>(D615/D612)*AV76</f>
        <v>0</v>
      </c>
      <c r="E713" s="180">
        <f>(E623/E612)*SUM(C713:D713)</f>
        <v>3676914.4586994108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114699.73688591334</v>
      </c>
      <c r="K713" s="180">
        <f>(K644/K612)*AV75</f>
        <v>37973.88398482991</v>
      </c>
      <c r="L713" s="180">
        <f>(L647/L612)*AV80</f>
        <v>0</v>
      </c>
      <c r="M713" s="180">
        <f t="shared" si="20"/>
        <v>3829588</v>
      </c>
      <c r="N713" s="199" t="s">
        <v>741</v>
      </c>
    </row>
    <row r="715" spans="1:83" ht="12.65" customHeight="1" x14ac:dyDescent="0.35">
      <c r="C715" s="180">
        <f>SUM(C614:C647)+SUM(C668:C713)</f>
        <v>261183099.10999998</v>
      </c>
      <c r="D715" s="180">
        <f>SUM(D616:D647)+SUM(D668:D713)</f>
        <v>2138013.6999999997</v>
      </c>
      <c r="E715" s="180">
        <f>SUM(E624:E647)+SUM(E668:E713)</f>
        <v>117030053.39490734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2088536.7831834899</v>
      </c>
      <c r="I715" s="180">
        <f>SUM(I630:I647)+SUM(I668:I713)</f>
        <v>4354653.6659929156</v>
      </c>
      <c r="J715" s="180">
        <f>SUM(J631:J647)+SUM(J668:J713)</f>
        <v>453000.09359660762</v>
      </c>
      <c r="K715" s="180">
        <f>SUM(K668:K713)</f>
        <v>2436128.9292841456</v>
      </c>
      <c r="L715" s="180">
        <f>SUM(L668:L713)</f>
        <v>0</v>
      </c>
      <c r="M715" s="180">
        <f>SUM(M668:M713)</f>
        <v>123667076</v>
      </c>
      <c r="N715" s="198" t="s">
        <v>742</v>
      </c>
    </row>
    <row r="716" spans="1:83" ht="12.65" customHeight="1" x14ac:dyDescent="0.35">
      <c r="C716" s="180">
        <f>CE71</f>
        <v>261183099.10999995</v>
      </c>
      <c r="D716" s="180">
        <f>D615</f>
        <v>2138013.6999999997</v>
      </c>
      <c r="E716" s="180">
        <f>E623</f>
        <v>117030053.39490736</v>
      </c>
      <c r="F716" s="180">
        <f>F624</f>
        <v>0</v>
      </c>
      <c r="G716" s="180">
        <f>G625</f>
        <v>0</v>
      </c>
      <c r="H716" s="180">
        <f>H628</f>
        <v>2088536.7831834899</v>
      </c>
      <c r="I716" s="180">
        <f>I629</f>
        <v>4354653.6659929156</v>
      </c>
      <c r="J716" s="180">
        <f>J630</f>
        <v>453000.09359660762</v>
      </c>
      <c r="K716" s="180">
        <f>K644</f>
        <v>2436128.9292841456</v>
      </c>
      <c r="L716" s="180">
        <f>L647</f>
        <v>0</v>
      </c>
      <c r="M716" s="180">
        <f>C648</f>
        <v>123667076.84999999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205*2020*A</v>
      </c>
      <c r="B722" s="275">
        <f>ROUND(C165,0)</f>
        <v>5232761</v>
      </c>
      <c r="C722" s="275">
        <f>ROUND(C166,0)</f>
        <v>313959</v>
      </c>
      <c r="D722" s="275">
        <f>ROUND(C167,0)</f>
        <v>564542</v>
      </c>
      <c r="E722" s="275">
        <f>ROUND(C168,0)</f>
        <v>14132287</v>
      </c>
      <c r="F722" s="275">
        <f>ROUND(C169,0)</f>
        <v>52710</v>
      </c>
      <c r="G722" s="275">
        <f>ROUND(C170,0)</f>
        <v>3654860</v>
      </c>
      <c r="H722" s="275">
        <f>ROUND(C171+C172,0)</f>
        <v>1639218</v>
      </c>
      <c r="I722" s="275">
        <f>ROUND(C175,0)</f>
        <v>8251738</v>
      </c>
      <c r="J722" s="275">
        <f>ROUND(C176,0)</f>
        <v>152272</v>
      </c>
      <c r="K722" s="275">
        <f>ROUND(C179,0)</f>
        <v>2046556</v>
      </c>
      <c r="L722" s="275">
        <f>ROUND(C180,0)</f>
        <v>412203</v>
      </c>
      <c r="M722" s="275">
        <f>ROUND(C183,0)</f>
        <v>25548</v>
      </c>
      <c r="N722" s="275">
        <f>ROUND(C184,0)</f>
        <v>2650435</v>
      </c>
      <c r="O722" s="275">
        <f>ROUND(C185,0)</f>
        <v>0</v>
      </c>
      <c r="P722" s="275">
        <f>ROUND(C188,0)</f>
        <v>1040011</v>
      </c>
      <c r="Q722" s="275">
        <f>ROUND(C189,0)</f>
        <v>0</v>
      </c>
      <c r="R722" s="275">
        <f>ROUND(B195,0)</f>
        <v>123086</v>
      </c>
      <c r="S722" s="275">
        <f>ROUND(C195,0)</f>
        <v>116908</v>
      </c>
      <c r="T722" s="275">
        <f>ROUND(D195,0)</f>
        <v>0</v>
      </c>
      <c r="U722" s="275">
        <f>ROUND(B196,0)</f>
        <v>129369</v>
      </c>
      <c r="V722" s="275">
        <f>ROUND(C196,0)</f>
        <v>0</v>
      </c>
      <c r="W722" s="275">
        <f>ROUND(D196,0)</f>
        <v>-289123</v>
      </c>
      <c r="X722" s="275">
        <f>ROUND(B197,0)</f>
        <v>287380</v>
      </c>
      <c r="Y722" s="275">
        <f>ROUND(C197,0)</f>
        <v>364393</v>
      </c>
      <c r="Z722" s="275">
        <f>ROUND(D197,0)</f>
        <v>0</v>
      </c>
      <c r="AA722" s="275">
        <f>ROUND(B198,0)</f>
        <v>3217436</v>
      </c>
      <c r="AB722" s="275">
        <f>ROUND(C198,0)</f>
        <v>303841</v>
      </c>
      <c r="AC722" s="275">
        <f>ROUND(D198,0)</f>
        <v>112812</v>
      </c>
      <c r="AD722" s="275">
        <f>ROUND(B199,0)</f>
        <v>4436456</v>
      </c>
      <c r="AE722" s="275">
        <f>ROUND(C199,0)</f>
        <v>80388</v>
      </c>
      <c r="AF722" s="275">
        <f>ROUND(D199,0)</f>
        <v>288026</v>
      </c>
      <c r="AG722" s="275">
        <f>ROUND(B200,0)</f>
        <v>17280289</v>
      </c>
      <c r="AH722" s="275">
        <f>ROUND(C200,0)</f>
        <v>643254</v>
      </c>
      <c r="AI722" s="275">
        <f>ROUND(D200,0)</f>
        <v>645174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6563543</v>
      </c>
      <c r="AQ722" s="275">
        <f>ROUND(C203,0)</f>
        <v>3859278</v>
      </c>
      <c r="AR722" s="275">
        <f>ROUND(D203,0)</f>
        <v>0</v>
      </c>
      <c r="AS722" s="275"/>
      <c r="AT722" s="275"/>
      <c r="AU722" s="275"/>
      <c r="AV722" s="275">
        <f>ROUND(B209,0)</f>
        <v>20568</v>
      </c>
      <c r="AW722" s="275">
        <f>ROUND(C209,0)</f>
        <v>29677</v>
      </c>
      <c r="AX722" s="275">
        <f>ROUND(D209,0)</f>
        <v>-122077</v>
      </c>
      <c r="AY722" s="275">
        <f>ROUND(B210,0)</f>
        <v>73880</v>
      </c>
      <c r="AZ722" s="275">
        <f>ROUND(C210,0)</f>
        <v>6000</v>
      </c>
      <c r="BA722" s="275">
        <f>ROUND(D210,0)</f>
        <v>0</v>
      </c>
      <c r="BB722" s="275">
        <f>ROUND(B211,0)</f>
        <v>636163</v>
      </c>
      <c r="BC722" s="275">
        <f>ROUND(C211,0)</f>
        <v>208017</v>
      </c>
      <c r="BD722" s="275">
        <f>ROUND(D211,0)</f>
        <v>17503</v>
      </c>
      <c r="BE722" s="275">
        <f>ROUND(B212,0)</f>
        <v>1841508</v>
      </c>
      <c r="BF722" s="275">
        <f>ROUND(C212,0)</f>
        <v>508967</v>
      </c>
      <c r="BG722" s="275">
        <f>ROUND(D212,0)</f>
        <v>11022</v>
      </c>
      <c r="BH722" s="275">
        <f>ROUND(B213,0)</f>
        <v>10403424</v>
      </c>
      <c r="BI722" s="275">
        <f>ROUND(C213,0)</f>
        <v>1605835</v>
      </c>
      <c r="BJ722" s="275">
        <f>ROUND(D213,0)</f>
        <v>145055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130780382</v>
      </c>
      <c r="BU722" s="275">
        <f>ROUND(C224,0)</f>
        <v>52307747</v>
      </c>
      <c r="BV722" s="275">
        <f>ROUND(C225,0)</f>
        <v>5408538</v>
      </c>
      <c r="BW722" s="275">
        <f>ROUND(C226,0)</f>
        <v>467509</v>
      </c>
      <c r="BX722" s="275">
        <f>ROUND(C227,0)</f>
        <v>4316512</v>
      </c>
      <c r="BY722" s="275">
        <f>ROUND(C228,0)</f>
        <v>35204608</v>
      </c>
      <c r="BZ722" s="275">
        <f>ROUND(C231,0)</f>
        <v>4174</v>
      </c>
      <c r="CA722" s="275">
        <f>ROUND(C233,0)</f>
        <v>950984</v>
      </c>
      <c r="CB722" s="275">
        <f>ROUND(C234,0)</f>
        <v>2655841</v>
      </c>
      <c r="CC722" s="275">
        <f>ROUND(C238+C239,0)</f>
        <v>-558720</v>
      </c>
      <c r="CD722" s="275">
        <f>D221</f>
        <v>4316512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205*2020*A</v>
      </c>
      <c r="B726" s="275">
        <f>ROUND(C111,0)</f>
        <v>526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1980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11</v>
      </c>
      <c r="M726" s="275">
        <f>ROUND(C119,0)</f>
        <v>0</v>
      </c>
      <c r="N726" s="275">
        <f>ROUND(C120,0)</f>
        <v>0</v>
      </c>
      <c r="O726" s="275">
        <f>ROUND(C121,0)</f>
        <v>9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20</v>
      </c>
      <c r="W726" s="275">
        <f>ROUND(C129,0)</f>
        <v>0</v>
      </c>
      <c r="X726" s="275">
        <f>ROUND(B138,0)</f>
        <v>200</v>
      </c>
      <c r="Y726" s="275">
        <f>ROUND(B139,0)</f>
        <v>1258</v>
      </c>
      <c r="Z726" s="275">
        <f>ROUND(B140,0)</f>
        <v>0</v>
      </c>
      <c r="AA726" s="275">
        <f>ROUND(B141,0)</f>
        <v>10884039</v>
      </c>
      <c r="AB726" s="275">
        <f>ROUND(B142,0)</f>
        <v>191122584</v>
      </c>
      <c r="AC726" s="275">
        <f>ROUND(C138,0)</f>
        <v>41</v>
      </c>
      <c r="AD726" s="275">
        <f>ROUND(C139,0)</f>
        <v>397</v>
      </c>
      <c r="AE726" s="275">
        <f>ROUND(C140,0)</f>
        <v>0</v>
      </c>
      <c r="AF726" s="275">
        <f>ROUND(C141,0)</f>
        <v>2370347</v>
      </c>
      <c r="AG726" s="275">
        <f>ROUND(C142,0)</f>
        <v>74062429</v>
      </c>
      <c r="AH726" s="275">
        <f>ROUND(D138,0)</f>
        <v>80</v>
      </c>
      <c r="AI726" s="275">
        <f>ROUND(D139,0)</f>
        <v>325</v>
      </c>
      <c r="AJ726" s="275">
        <f>ROUND(D140,0)</f>
        <v>0</v>
      </c>
      <c r="AK726" s="275">
        <f>ROUND(D141,0)</f>
        <v>5337009</v>
      </c>
      <c r="AL726" s="275">
        <f>ROUND(D142,0)</f>
        <v>170837592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205*2020*A</v>
      </c>
      <c r="B730" s="275">
        <f>ROUND(C250,0)</f>
        <v>11588880</v>
      </c>
      <c r="C730" s="275">
        <f>ROUND(C251,0)</f>
        <v>0</v>
      </c>
      <c r="D730" s="275">
        <f>ROUND(C252,0)</f>
        <v>26070793</v>
      </c>
      <c r="E730" s="275">
        <f>ROUND(C253,0)</f>
        <v>0</v>
      </c>
      <c r="F730" s="275">
        <f>ROUND(C254,0)</f>
        <v>3457659</v>
      </c>
      <c r="G730" s="275">
        <f>ROUND(C255,0)</f>
        <v>3900929</v>
      </c>
      <c r="H730" s="275">
        <f>ROUND(C256,0)</f>
        <v>0</v>
      </c>
      <c r="I730" s="275">
        <f>ROUND(C257,0)</f>
        <v>1265502</v>
      </c>
      <c r="J730" s="275">
        <f>ROUND(C258,0)</f>
        <v>1762411</v>
      </c>
      <c r="K730" s="275">
        <f>ROUND(C259,0)</f>
        <v>0</v>
      </c>
      <c r="L730" s="275">
        <f>ROUND(C262,0)</f>
        <v>2000000</v>
      </c>
      <c r="M730" s="275">
        <f>ROUND(C263,0)</f>
        <v>0</v>
      </c>
      <c r="N730" s="275">
        <f>ROUND(C264,0)</f>
        <v>0</v>
      </c>
      <c r="O730" s="275">
        <f>ROUND(C267,0)</f>
        <v>239994</v>
      </c>
      <c r="P730" s="275">
        <f>ROUND(C268,0)</f>
        <v>418492</v>
      </c>
      <c r="Q730" s="275">
        <f>ROUND(C269,0)</f>
        <v>651773</v>
      </c>
      <c r="R730" s="275">
        <f>ROUND(C270,0)</f>
        <v>3408465</v>
      </c>
      <c r="S730" s="275">
        <f>ROUND(C271,0)</f>
        <v>4228818</v>
      </c>
      <c r="T730" s="275">
        <f>ROUND(C272,0)</f>
        <v>17278369</v>
      </c>
      <c r="U730" s="275">
        <f>ROUND(C273,0)</f>
        <v>0</v>
      </c>
      <c r="V730" s="275">
        <f>ROUND(C274,0)</f>
        <v>10361830</v>
      </c>
      <c r="W730" s="275">
        <f>ROUND(C275,0)</f>
        <v>0</v>
      </c>
      <c r="X730" s="275">
        <f>ROUND(C276,0)</f>
        <v>15282532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47409180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5518708</v>
      </c>
      <c r="AI730" s="275">
        <f>ROUND(C306,0)</f>
        <v>4414337</v>
      </c>
      <c r="AJ730" s="275">
        <f>ROUND(C307,0)</f>
        <v>6489201</v>
      </c>
      <c r="AK730" s="275">
        <f>ROUND(C308,0)</f>
        <v>10107904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37342194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19911693</v>
      </c>
      <c r="AW730" s="275">
        <f>ROUND(C324,0)</f>
        <v>46710578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-11734052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1058.18</v>
      </c>
      <c r="BJ730" s="275">
        <f>ROUND(C359,0)</f>
        <v>16221048</v>
      </c>
      <c r="BK730" s="275">
        <f>ROUND(C360,0)</f>
        <v>438392952</v>
      </c>
      <c r="BL730" s="275">
        <f>ROUND(C364,0)</f>
        <v>222687938</v>
      </c>
      <c r="BM730" s="275">
        <f>ROUND(C365,0)</f>
        <v>3606825</v>
      </c>
      <c r="BN730" s="275">
        <f>ROUND(C366,0)</f>
        <v>5238641</v>
      </c>
      <c r="BO730" s="275">
        <f>ROUND(C370,0)</f>
        <v>26639325</v>
      </c>
      <c r="BP730" s="275">
        <f>ROUND(C371,0)</f>
        <v>0</v>
      </c>
      <c r="BQ730" s="275">
        <f>ROUND(C378,0)</f>
        <v>73290684</v>
      </c>
      <c r="BR730" s="275">
        <f>ROUND(C379,0)</f>
        <v>25590337</v>
      </c>
      <c r="BS730" s="275">
        <f>ROUND(C380,0)</f>
        <v>104018921</v>
      </c>
      <c r="BT730" s="275">
        <f>ROUND(C381,0)</f>
        <v>22757883</v>
      </c>
      <c r="BU730" s="275">
        <f>ROUND(C382,0)</f>
        <v>1142066</v>
      </c>
      <c r="BV730" s="275">
        <f>ROUND(C383,0)</f>
        <v>15477376</v>
      </c>
      <c r="BW730" s="275">
        <f>ROUND(C384,0)</f>
        <v>2490864</v>
      </c>
      <c r="BX730" s="275">
        <f>ROUND(C385,0)</f>
        <v>8263067</v>
      </c>
      <c r="BY730" s="275">
        <f>ROUND(C386,0)</f>
        <v>2455759</v>
      </c>
      <c r="BZ730" s="275">
        <f>ROUND(C387,0)</f>
        <v>2132331</v>
      </c>
      <c r="CA730" s="275">
        <f>ROUND(C388,0)</f>
        <v>1040011</v>
      </c>
      <c r="CB730" s="275">
        <f>C363</f>
        <v>4316512</v>
      </c>
      <c r="CC730" s="275">
        <f>ROUND(C389,0)</f>
        <v>2567061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205*2020*6010*A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205*2020*6030*A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205*2020*6070*A</v>
      </c>
      <c r="B736" s="275">
        <f>ROUND(E59,0)</f>
        <v>526</v>
      </c>
      <c r="C736" s="277">
        <f>ROUND(E60,2)</f>
        <v>14.97</v>
      </c>
      <c r="D736" s="275">
        <f>ROUND(E61,0)</f>
        <v>1118217</v>
      </c>
      <c r="E736" s="275">
        <f>ROUND(E62,0)</f>
        <v>360987</v>
      </c>
      <c r="F736" s="275">
        <f>ROUND(E63,0)</f>
        <v>30536</v>
      </c>
      <c r="G736" s="275">
        <f>ROUND(E64,0)</f>
        <v>99538</v>
      </c>
      <c r="H736" s="275">
        <f>ROUND(E65,0)</f>
        <v>11170</v>
      </c>
      <c r="I736" s="275">
        <f>ROUND(E66,0)</f>
        <v>18540</v>
      </c>
      <c r="J736" s="275">
        <f>ROUND(E67,0)</f>
        <v>24055</v>
      </c>
      <c r="K736" s="275">
        <f>ROUND(E68,0)</f>
        <v>173897</v>
      </c>
      <c r="L736" s="275">
        <f>ROUND(E69,0)</f>
        <v>7418</v>
      </c>
      <c r="M736" s="275">
        <f>ROUND(E70,0)</f>
        <v>0</v>
      </c>
      <c r="N736" s="275">
        <f>ROUND(E75,0)</f>
        <v>3560338</v>
      </c>
      <c r="O736" s="275">
        <f>ROUND(E73,0)</f>
        <v>1835446</v>
      </c>
      <c r="P736" s="275">
        <f>IF(E76&gt;0,ROUND(E76,0),0)</f>
        <v>6867</v>
      </c>
      <c r="Q736" s="275">
        <f>IF(E77&gt;0,ROUND(E77,0),0)</f>
        <v>1851</v>
      </c>
      <c r="R736" s="275">
        <f>IF(E78&gt;0,ROUND(E78,0),0)</f>
        <v>6867</v>
      </c>
      <c r="S736" s="275">
        <f>IF(E79&gt;0,ROUND(E79,0),0)</f>
        <v>78808</v>
      </c>
      <c r="T736" s="277">
        <f>IF(E80&gt;0,ROUND(E80,2),0)</f>
        <v>7.39</v>
      </c>
      <c r="U736" s="275"/>
      <c r="V736" s="276"/>
      <c r="W736" s="275"/>
      <c r="X736" s="275"/>
      <c r="Y736" s="275">
        <f t="shared" si="21"/>
        <v>1798706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205*2020*6100*A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205*2020*6120*A</v>
      </c>
      <c r="B738" s="275">
        <f>ROUND(G59,0)</f>
        <v>1454</v>
      </c>
      <c r="C738" s="277">
        <f>ROUND(G60,2)</f>
        <v>20.54</v>
      </c>
      <c r="D738" s="275">
        <f>ROUND(G61,0)</f>
        <v>1595314</v>
      </c>
      <c r="E738" s="275">
        <f>ROUND(G62,0)</f>
        <v>520851</v>
      </c>
      <c r="F738" s="275">
        <f>ROUND(G63,0)</f>
        <v>15306</v>
      </c>
      <c r="G738" s="275">
        <f>ROUND(G64,0)</f>
        <v>24077</v>
      </c>
      <c r="H738" s="275">
        <f>ROUND(G65,0)</f>
        <v>10339</v>
      </c>
      <c r="I738" s="275">
        <f>ROUND(G66,0)</f>
        <v>56428</v>
      </c>
      <c r="J738" s="275">
        <f>ROUND(G67,0)</f>
        <v>0</v>
      </c>
      <c r="K738" s="275">
        <f>ROUND(G68,0)</f>
        <v>152949</v>
      </c>
      <c r="L738" s="275">
        <f>ROUND(G69,0)</f>
        <v>35303</v>
      </c>
      <c r="M738" s="275">
        <f>ROUND(G70,0)</f>
        <v>0</v>
      </c>
      <c r="N738" s="275">
        <f>ROUND(G75,0)</f>
        <v>5774298</v>
      </c>
      <c r="O738" s="275">
        <f>ROUND(G73,0)</f>
        <v>5601873</v>
      </c>
      <c r="P738" s="275">
        <f>IF(G76&gt;0,ROUND(G76,0),0)</f>
        <v>4895</v>
      </c>
      <c r="Q738" s="275">
        <f>IF(G77&gt;0,ROUND(G77,0),0)</f>
        <v>5166</v>
      </c>
      <c r="R738" s="275">
        <f>IF(G78&gt;0,ROUND(G78,0),0)</f>
        <v>4895</v>
      </c>
      <c r="S738" s="275">
        <f>IF(G79&gt;0,ROUND(G79,0),0)</f>
        <v>2626</v>
      </c>
      <c r="T738" s="277">
        <f>IF(G80&gt;0,ROUND(G80,2),0)</f>
        <v>8.16</v>
      </c>
      <c r="U738" s="275"/>
      <c r="V738" s="276"/>
      <c r="W738" s="275"/>
      <c r="X738" s="275"/>
      <c r="Y738" s="275">
        <f t="shared" si="21"/>
        <v>2157058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205*2020*6140*A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205*2020*6150*A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205*2020*6170*A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205*2020*6200*A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205*2020*6210*A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205*2020*6330*A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205*2020*6400*A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205*2020*7010*A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205*2020*7020*A</v>
      </c>
      <c r="B747" s="275">
        <f>ROUND(P59,0)</f>
        <v>343021</v>
      </c>
      <c r="C747" s="277">
        <f>ROUND(P60,2)</f>
        <v>53.55</v>
      </c>
      <c r="D747" s="275">
        <f>ROUND(P61,0)</f>
        <v>4371711</v>
      </c>
      <c r="E747" s="275">
        <f>ROUND(P62,0)</f>
        <v>1279207</v>
      </c>
      <c r="F747" s="275">
        <f>ROUND(P63,0)</f>
        <v>88546</v>
      </c>
      <c r="G747" s="275">
        <f>ROUND(P64,0)</f>
        <v>2989719</v>
      </c>
      <c r="H747" s="275">
        <f>ROUND(P65,0)</f>
        <v>35782</v>
      </c>
      <c r="I747" s="275">
        <f>ROUND(P66,0)</f>
        <v>487413</v>
      </c>
      <c r="J747" s="275">
        <f>ROUND(P67,0)</f>
        <v>350474</v>
      </c>
      <c r="K747" s="275">
        <f>ROUND(P68,0)</f>
        <v>515932</v>
      </c>
      <c r="L747" s="275">
        <f>ROUND(P69,0)</f>
        <v>193521</v>
      </c>
      <c r="M747" s="275">
        <f>ROUND(P70,0)</f>
        <v>0</v>
      </c>
      <c r="N747" s="275">
        <f>ROUND(P75,0)</f>
        <v>76400518</v>
      </c>
      <c r="O747" s="275">
        <f>ROUND(P73,0)</f>
        <v>3698593</v>
      </c>
      <c r="P747" s="275">
        <f>IF(P76&gt;0,ROUND(P76,0),0)</f>
        <v>27597</v>
      </c>
      <c r="Q747" s="275">
        <f>IF(P77&gt;0,ROUND(P77,0),0)</f>
        <v>0</v>
      </c>
      <c r="R747" s="275">
        <f>IF(P78&gt;0,ROUND(P78,0),0)</f>
        <v>27597</v>
      </c>
      <c r="S747" s="275">
        <f>IF(P79&gt;0,ROUND(P79,0),0)</f>
        <v>45143</v>
      </c>
      <c r="T747" s="277">
        <f>IF(P80&gt;0,ROUND(P80,2),0)</f>
        <v>29.54</v>
      </c>
      <c r="U747" s="275"/>
      <c r="V747" s="276"/>
      <c r="W747" s="275"/>
      <c r="X747" s="275"/>
      <c r="Y747" s="275">
        <f t="shared" si="21"/>
        <v>9631077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205*2020*7030*A</v>
      </c>
      <c r="B748" s="275">
        <f>ROUND(Q59,0)</f>
        <v>162207</v>
      </c>
      <c r="C748" s="277">
        <f>ROUND(Q60,2)</f>
        <v>16.989999999999998</v>
      </c>
      <c r="D748" s="275">
        <f>ROUND(Q61,0)</f>
        <v>1513865</v>
      </c>
      <c r="E748" s="275">
        <f>ROUND(Q62,0)</f>
        <v>360998</v>
      </c>
      <c r="F748" s="275">
        <f>ROUND(Q63,0)</f>
        <v>0</v>
      </c>
      <c r="G748" s="275">
        <f>ROUND(Q64,0)</f>
        <v>44804</v>
      </c>
      <c r="H748" s="275">
        <f>ROUND(Q65,0)</f>
        <v>11391</v>
      </c>
      <c r="I748" s="275">
        <f>ROUND(Q66,0)</f>
        <v>1571</v>
      </c>
      <c r="J748" s="275">
        <f>ROUND(Q67,0)</f>
        <v>4111</v>
      </c>
      <c r="K748" s="275">
        <f>ROUND(Q68,0)</f>
        <v>169737</v>
      </c>
      <c r="L748" s="275">
        <f>ROUND(Q69,0)</f>
        <v>3340</v>
      </c>
      <c r="M748" s="275">
        <f>ROUND(Q70,0)</f>
        <v>0</v>
      </c>
      <c r="N748" s="275">
        <f>ROUND(Q75,0)</f>
        <v>6283406</v>
      </c>
      <c r="O748" s="275">
        <f>ROUND(Q73,0)</f>
        <v>268289</v>
      </c>
      <c r="P748" s="275">
        <f>IF(Q76&gt;0,ROUND(Q76,0),0)</f>
        <v>6898</v>
      </c>
      <c r="Q748" s="275">
        <f>IF(Q77&gt;0,ROUND(Q77,0),0)</f>
        <v>0</v>
      </c>
      <c r="R748" s="275">
        <f>IF(Q78&gt;0,ROUND(Q78,0),0)</f>
        <v>6898</v>
      </c>
      <c r="S748" s="275">
        <f>IF(Q79&gt;0,ROUND(Q79,0),0)</f>
        <v>0</v>
      </c>
      <c r="T748" s="277">
        <f>IF(Q80&gt;0,ROUND(Q80,2),0)</f>
        <v>12.55</v>
      </c>
      <c r="U748" s="275"/>
      <c r="V748" s="276"/>
      <c r="W748" s="275"/>
      <c r="X748" s="275"/>
      <c r="Y748" s="275">
        <f t="shared" si="21"/>
        <v>1955409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205*2020*7040*A</v>
      </c>
      <c r="B749" s="275">
        <f>ROUND(R59,0)</f>
        <v>348049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15</v>
      </c>
      <c r="H749" s="275">
        <f>ROUND(R65,0)</f>
        <v>0</v>
      </c>
      <c r="I749" s="275">
        <f>ROUND(R66,0)</f>
        <v>5972</v>
      </c>
      <c r="J749" s="275">
        <f>ROUND(R67,0)</f>
        <v>17405</v>
      </c>
      <c r="K749" s="275">
        <f>ROUND(R68,0)</f>
        <v>0</v>
      </c>
      <c r="L749" s="275">
        <f>ROUND(R69,0)</f>
        <v>190045</v>
      </c>
      <c r="M749" s="275">
        <f>ROUND(R70,0)</f>
        <v>0</v>
      </c>
      <c r="N749" s="275">
        <f>ROUND(R75,0)</f>
        <v>27080805</v>
      </c>
      <c r="O749" s="275">
        <f>ROUND(R73,0)</f>
        <v>101694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318396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205*2020*7050*A</v>
      </c>
      <c r="B750" s="275"/>
      <c r="C750" s="277">
        <f>ROUND(S60,2)</f>
        <v>5.96</v>
      </c>
      <c r="D750" s="275">
        <f>ROUND(S61,0)</f>
        <v>266412</v>
      </c>
      <c r="E750" s="275">
        <f>ROUND(S62,0)</f>
        <v>107570</v>
      </c>
      <c r="F750" s="275">
        <f>ROUND(S63,0)</f>
        <v>0</v>
      </c>
      <c r="G750" s="275">
        <f>ROUND(S64,0)</f>
        <v>6348132</v>
      </c>
      <c r="H750" s="275">
        <f>ROUND(S65,0)</f>
        <v>2277</v>
      </c>
      <c r="I750" s="275">
        <f>ROUND(S66,0)</f>
        <v>0</v>
      </c>
      <c r="J750" s="275">
        <f>ROUND(S67,0)</f>
        <v>0</v>
      </c>
      <c r="K750" s="275">
        <f>ROUND(S68,0)</f>
        <v>40357</v>
      </c>
      <c r="L750" s="275">
        <f>ROUND(S69,0)</f>
        <v>5099</v>
      </c>
      <c r="M750" s="275">
        <f>ROUND(S70,0)</f>
        <v>0</v>
      </c>
      <c r="N750" s="275">
        <f>ROUND(S75,0)</f>
        <v>14890034</v>
      </c>
      <c r="O750" s="275">
        <f>ROUND(S73,0)</f>
        <v>2389128</v>
      </c>
      <c r="P750" s="275">
        <f>IF(S76&gt;0,ROUND(S76,0),0)</f>
        <v>11812</v>
      </c>
      <c r="Q750" s="275">
        <f>IF(S77&gt;0,ROUND(S77,0),0)</f>
        <v>0</v>
      </c>
      <c r="R750" s="275">
        <f>IF(S78&gt;0,ROUND(S78,0),0)</f>
        <v>11812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5883791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205*2020*7060*A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205*2020*7070*A</v>
      </c>
      <c r="B752" s="275">
        <f>ROUND(U59,0)</f>
        <v>24362</v>
      </c>
      <c r="C752" s="277">
        <f>ROUND(U60,2)</f>
        <v>17.920000000000002</v>
      </c>
      <c r="D752" s="275">
        <f>ROUND(U61,0)</f>
        <v>757295</v>
      </c>
      <c r="E752" s="275">
        <f>ROUND(U62,0)</f>
        <v>313294</v>
      </c>
      <c r="F752" s="275">
        <f>ROUND(U63,0)</f>
        <v>52042</v>
      </c>
      <c r="G752" s="275">
        <f>ROUND(U64,0)</f>
        <v>227318</v>
      </c>
      <c r="H752" s="275">
        <f>ROUND(U65,0)</f>
        <v>9545</v>
      </c>
      <c r="I752" s="275">
        <f>ROUND(U66,0)</f>
        <v>1006277</v>
      </c>
      <c r="J752" s="275">
        <f>ROUND(U67,0)</f>
        <v>109175</v>
      </c>
      <c r="K752" s="275">
        <f>ROUND(U68,0)</f>
        <v>155979</v>
      </c>
      <c r="L752" s="275">
        <f>ROUND(U69,0)</f>
        <v>8978</v>
      </c>
      <c r="M752" s="275">
        <f>ROUND(U70,0)</f>
        <v>0</v>
      </c>
      <c r="N752" s="275">
        <f>ROUND(U75,0)</f>
        <v>2274609</v>
      </c>
      <c r="O752" s="275">
        <f>ROUND(U73,0)</f>
        <v>44464</v>
      </c>
      <c r="P752" s="275">
        <f>IF(U76&gt;0,ROUND(U76,0),0)</f>
        <v>7833</v>
      </c>
      <c r="Q752" s="275">
        <f>IF(U77&gt;0,ROUND(U77,0),0)</f>
        <v>0</v>
      </c>
      <c r="R752" s="275">
        <f>IF(U78&gt;0,ROUND(U78,0),0)</f>
        <v>7833</v>
      </c>
      <c r="S752" s="275">
        <f>IF(U79&gt;0,ROUND(U79,0),0)</f>
        <v>1482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2391114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205*2020*7110*A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205*2020*7120*A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205*2020*7130*A</v>
      </c>
      <c r="B755" s="275">
        <f>ROUND(X59,0)</f>
        <v>0</v>
      </c>
      <c r="C755" s="277">
        <f>ROUND(X60,2)</f>
        <v>4.7699999999999996</v>
      </c>
      <c r="D755" s="275">
        <f>ROUND(X61,0)</f>
        <v>335544</v>
      </c>
      <c r="E755" s="275">
        <f>ROUND(X62,0)</f>
        <v>99171</v>
      </c>
      <c r="F755" s="275">
        <f>ROUND(X63,0)</f>
        <v>0</v>
      </c>
      <c r="G755" s="275">
        <f>ROUND(X64,0)</f>
        <v>100827</v>
      </c>
      <c r="H755" s="275">
        <f>ROUND(X65,0)</f>
        <v>4447</v>
      </c>
      <c r="I755" s="275">
        <f>ROUND(X66,0)</f>
        <v>561028</v>
      </c>
      <c r="J755" s="275">
        <f>ROUND(X67,0)</f>
        <v>4035</v>
      </c>
      <c r="K755" s="275">
        <f>ROUND(X68,0)</f>
        <v>68732</v>
      </c>
      <c r="L755" s="275">
        <f>ROUND(X69,0)</f>
        <v>277</v>
      </c>
      <c r="M755" s="275">
        <f>ROUND(X70,0)</f>
        <v>0</v>
      </c>
      <c r="N755" s="275">
        <f>ROUND(X75,0)</f>
        <v>10003719</v>
      </c>
      <c r="O755" s="275">
        <f>ROUND(X73,0)</f>
        <v>19998</v>
      </c>
      <c r="P755" s="275">
        <f>IF(X76&gt;0,ROUND(X76,0),0)</f>
        <v>3268</v>
      </c>
      <c r="Q755" s="275">
        <f>IF(X77&gt;0,ROUND(X77,0),0)</f>
        <v>0</v>
      </c>
      <c r="R755" s="275">
        <f>IF(X78&gt;0,ROUND(X78,0),0)</f>
        <v>3268</v>
      </c>
      <c r="S755" s="275">
        <f>IF(X79&gt;0,ROUND(X79,0),0)</f>
        <v>1361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1100030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205*2020*7140*A</v>
      </c>
      <c r="B756" s="275">
        <f>ROUND(Y59,0)</f>
        <v>481421</v>
      </c>
      <c r="C756" s="277">
        <f>ROUND(Y60,2)</f>
        <v>36.81</v>
      </c>
      <c r="D756" s="275">
        <f>ROUND(Y61,0)</f>
        <v>2631146</v>
      </c>
      <c r="E756" s="275">
        <f>ROUND(Y62,0)</f>
        <v>785258</v>
      </c>
      <c r="F756" s="275">
        <f>ROUND(Y63,0)</f>
        <v>68059</v>
      </c>
      <c r="G756" s="275">
        <f>ROUND(Y64,0)</f>
        <v>271435</v>
      </c>
      <c r="H756" s="275">
        <f>ROUND(Y65,0)</f>
        <v>21725</v>
      </c>
      <c r="I756" s="275">
        <f>ROUND(Y66,0)</f>
        <v>2810669</v>
      </c>
      <c r="J756" s="275">
        <f>ROUND(Y67,0)</f>
        <v>256857</v>
      </c>
      <c r="K756" s="275">
        <f>ROUND(Y68,0)</f>
        <v>427380</v>
      </c>
      <c r="L756" s="275">
        <f>ROUND(Y69,0)</f>
        <v>199606</v>
      </c>
      <c r="M756" s="275">
        <f>ROUND(Y70,0)</f>
        <v>0</v>
      </c>
      <c r="N756" s="275">
        <f>ROUND(Y75,0)</f>
        <v>40738197</v>
      </c>
      <c r="O756" s="275">
        <f>ROUND(Y73,0)</f>
        <v>36494</v>
      </c>
      <c r="P756" s="275">
        <f>IF(Y76&gt;0,ROUND(Y76,0),0)</f>
        <v>25353</v>
      </c>
      <c r="Q756" s="275">
        <f>IF(Y77&gt;0,ROUND(Y77,0),0)</f>
        <v>0</v>
      </c>
      <c r="R756" s="275">
        <f>IF(Y78&gt;0,ROUND(Y78,0),0)</f>
        <v>25353</v>
      </c>
      <c r="S756" s="275">
        <f>IF(Y79&gt;0,ROUND(Y79,0),0)</f>
        <v>44495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7041466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205*2020*7150*A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205*2020*7160*A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14841</v>
      </c>
      <c r="H758" s="275">
        <f>ROUND(AA65,0)</f>
        <v>0</v>
      </c>
      <c r="I758" s="275">
        <f>ROUND(AA66,0)</f>
        <v>395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109927</v>
      </c>
      <c r="O758" s="275">
        <f>ROUND(AA73,0)</f>
        <v>1508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17322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30217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205*2020*7170*A</v>
      </c>
      <c r="B759" s="275"/>
      <c r="C759" s="277">
        <f>ROUND(AB60,2)</f>
        <v>20.93</v>
      </c>
      <c r="D759" s="275">
        <f>ROUND(AB61,0)</f>
        <v>2221516</v>
      </c>
      <c r="E759" s="275">
        <f>ROUND(AB62,0)</f>
        <v>585304</v>
      </c>
      <c r="F759" s="275">
        <f>ROUND(AB63,0)</f>
        <v>9375</v>
      </c>
      <c r="G759" s="275">
        <f>ROUND(AB64,0)</f>
        <v>1891636</v>
      </c>
      <c r="H759" s="275">
        <f>ROUND(AB65,0)</f>
        <v>4566</v>
      </c>
      <c r="I759" s="275">
        <f>ROUND(AB66,0)</f>
        <v>114189</v>
      </c>
      <c r="J759" s="275">
        <f>ROUND(AB67,0)</f>
        <v>33608</v>
      </c>
      <c r="K759" s="275">
        <f>ROUND(AB68,0)</f>
        <v>64040</v>
      </c>
      <c r="L759" s="275">
        <f>ROUND(AB69,0)</f>
        <v>41636</v>
      </c>
      <c r="M759" s="275">
        <f>ROUND(AB70,0)</f>
        <v>0</v>
      </c>
      <c r="N759" s="275">
        <f>ROUND(AB75,0)</f>
        <v>6408523</v>
      </c>
      <c r="O759" s="275">
        <f>ROUND(AB73,0)</f>
        <v>360508</v>
      </c>
      <c r="P759" s="275">
        <f>IF(AB76&gt;0,ROUND(AB76,0),0)</f>
        <v>2198</v>
      </c>
      <c r="Q759" s="275">
        <f>IF(AB77&gt;0,ROUND(AB77,0),0)</f>
        <v>0</v>
      </c>
      <c r="R759" s="275">
        <f>IF(AB78&gt;0,ROUND(AB78,0),0)</f>
        <v>2198</v>
      </c>
      <c r="S759" s="275">
        <f>IF(AB79&gt;0,ROUND(AB79,0),0)</f>
        <v>15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4165826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205*2020*7180*A</v>
      </c>
      <c r="B760" s="275">
        <f>ROUND(AC59,0)</f>
        <v>492</v>
      </c>
      <c r="C760" s="277">
        <f>ROUND(AC60,2)</f>
        <v>0.27</v>
      </c>
      <c r="D760" s="275">
        <f>ROUND(AC61,0)</f>
        <v>23079</v>
      </c>
      <c r="E760" s="275">
        <f>ROUND(AC62,0)</f>
        <v>6235</v>
      </c>
      <c r="F760" s="275">
        <f>ROUND(AC63,0)</f>
        <v>138735</v>
      </c>
      <c r="G760" s="275">
        <f>ROUND(AC64,0)</f>
        <v>2307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52359</v>
      </c>
      <c r="O760" s="275">
        <f>ROUND(AC73,0)</f>
        <v>40285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139165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205*2020*7190*A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205*2020*7200*A</v>
      </c>
      <c r="B762" s="275">
        <f>ROUND(AE59,0)</f>
        <v>17397</v>
      </c>
      <c r="C762" s="277">
        <f>ROUND(AE60,2)</f>
        <v>22.82</v>
      </c>
      <c r="D762" s="275">
        <f>ROUND(AE61,0)</f>
        <v>1688601</v>
      </c>
      <c r="E762" s="275">
        <f>ROUND(AE62,0)</f>
        <v>617114</v>
      </c>
      <c r="F762" s="275">
        <f>ROUND(AE63,0)</f>
        <v>0</v>
      </c>
      <c r="G762" s="275">
        <f>ROUND(AE64,0)</f>
        <v>39298</v>
      </c>
      <c r="H762" s="275">
        <f>ROUND(AE65,0)</f>
        <v>22472</v>
      </c>
      <c r="I762" s="275">
        <f>ROUND(AE66,0)</f>
        <v>4080</v>
      </c>
      <c r="J762" s="275">
        <f>ROUND(AE67,0)</f>
        <v>26332</v>
      </c>
      <c r="K762" s="275">
        <f>ROUND(AE68,0)</f>
        <v>204464</v>
      </c>
      <c r="L762" s="275">
        <f>ROUND(AE69,0)</f>
        <v>109203</v>
      </c>
      <c r="M762" s="275">
        <f>ROUND(AE70,0)</f>
        <v>0</v>
      </c>
      <c r="N762" s="275">
        <f>ROUND(AE75,0)</f>
        <v>4376133</v>
      </c>
      <c r="O762" s="275">
        <f>ROUND(AE73,0)</f>
        <v>0</v>
      </c>
      <c r="P762" s="275">
        <f>IF(AE76&gt;0,ROUND(AE76,0),0)</f>
        <v>4450</v>
      </c>
      <c r="Q762" s="275">
        <f>IF(AE77&gt;0,ROUND(AE77,0),0)</f>
        <v>0</v>
      </c>
      <c r="R762" s="275">
        <f>IF(AE78&gt;0,ROUND(AE78,0),0)</f>
        <v>4450</v>
      </c>
      <c r="S762" s="275">
        <f>IF(AE79&gt;0,ROUND(AE79,0),0)</f>
        <v>47487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2432415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205*2020*7220*A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205*2020*7230*A</v>
      </c>
      <c r="B764" s="275">
        <f>ROUND(AG59,0)</f>
        <v>3247</v>
      </c>
      <c r="C764" s="277">
        <f>ROUND(AG60,2)</f>
        <v>4.22</v>
      </c>
      <c r="D764" s="275">
        <f>ROUND(AG61,0)</f>
        <v>383106</v>
      </c>
      <c r="E764" s="275">
        <f>ROUND(AG62,0)</f>
        <v>99824</v>
      </c>
      <c r="F764" s="275">
        <f>ROUND(AG63,0)</f>
        <v>277351</v>
      </c>
      <c r="G764" s="275">
        <f>ROUND(AG64,0)</f>
        <v>75049</v>
      </c>
      <c r="H764" s="275">
        <f>ROUND(AG65,0)</f>
        <v>40</v>
      </c>
      <c r="I764" s="275">
        <f>ROUND(AG66,0)</f>
        <v>5743</v>
      </c>
      <c r="J764" s="275">
        <f>ROUND(AG67,0)</f>
        <v>0</v>
      </c>
      <c r="K764" s="275">
        <f>ROUND(AG68,0)</f>
        <v>0</v>
      </c>
      <c r="L764" s="275">
        <f>ROUND(AG69,0)</f>
        <v>7833</v>
      </c>
      <c r="M764" s="275">
        <f>ROUND(AG70,0)</f>
        <v>0</v>
      </c>
      <c r="N764" s="275">
        <f>ROUND(AG75,0)</f>
        <v>2724446</v>
      </c>
      <c r="O764" s="275">
        <f>ROUND(AG73,0)</f>
        <v>42933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2.62</v>
      </c>
      <c r="U764" s="275"/>
      <c r="V764" s="276"/>
      <c r="W764" s="275"/>
      <c r="X764" s="275"/>
      <c r="Y764" s="275">
        <f t="shared" si="21"/>
        <v>712894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205*2020*7240*A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205*2020*7250*A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205*2020*7260*A</v>
      </c>
      <c r="B767" s="275">
        <f>ROUND(AJ59,0)</f>
        <v>151643</v>
      </c>
      <c r="C767" s="277">
        <f>ROUND(AJ60,2)</f>
        <v>193.83</v>
      </c>
      <c r="D767" s="275">
        <f>ROUND(AJ61,0)</f>
        <v>12701722</v>
      </c>
      <c r="E767" s="275">
        <f>ROUND(AJ62,0)</f>
        <v>4325527</v>
      </c>
      <c r="F767" s="275">
        <f>ROUND(AJ63,0)</f>
        <v>184771</v>
      </c>
      <c r="G767" s="275">
        <f>ROUND(AJ64,0)</f>
        <v>2457179</v>
      </c>
      <c r="H767" s="275">
        <f>ROUND(AJ65,0)</f>
        <v>86585</v>
      </c>
      <c r="I767" s="275">
        <f>ROUND(AJ66,0)</f>
        <v>223696</v>
      </c>
      <c r="J767" s="275">
        <f>ROUND(AJ67,0)</f>
        <v>315581</v>
      </c>
      <c r="K767" s="275">
        <f>ROUND(AJ68,0)</f>
        <v>1300976</v>
      </c>
      <c r="L767" s="275">
        <f>ROUND(AJ69,0)</f>
        <v>1025658</v>
      </c>
      <c r="M767" s="275">
        <f>ROUND(AJ70,0)</f>
        <v>0</v>
      </c>
      <c r="N767" s="275">
        <f>ROUND(AJ75,0)</f>
        <v>91223227</v>
      </c>
      <c r="O767" s="275">
        <f>ROUND(AJ73,0)</f>
        <v>1705</v>
      </c>
      <c r="P767" s="275">
        <f>IF(AJ76&gt;0,ROUND(AJ76,0),0)</f>
        <v>86795</v>
      </c>
      <c r="Q767" s="275">
        <f>IF(AJ77&gt;0,ROUND(AJ77,0),0)</f>
        <v>0</v>
      </c>
      <c r="R767" s="275">
        <f>IF(AJ78&gt;0,ROUND(AJ78,0),0)</f>
        <v>86795</v>
      </c>
      <c r="S767" s="275">
        <f>IF(AJ79&gt;0,ROUND(AJ79,0),0)</f>
        <v>33514</v>
      </c>
      <c r="T767" s="277">
        <f>IF(AJ80&gt;0,ROUND(AJ80,2),0)</f>
        <v>19.97</v>
      </c>
      <c r="U767" s="275"/>
      <c r="V767" s="276"/>
      <c r="W767" s="275"/>
      <c r="X767" s="275"/>
      <c r="Y767" s="275">
        <f t="shared" si="21"/>
        <v>21473053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205*2020*7310*A</v>
      </c>
      <c r="B768" s="275">
        <f>ROUND(AK59,0)</f>
        <v>7648</v>
      </c>
      <c r="C768" s="277">
        <f>ROUND(AK60,2)</f>
        <v>12.93</v>
      </c>
      <c r="D768" s="275">
        <f>ROUND(AK61,0)</f>
        <v>963858</v>
      </c>
      <c r="E768" s="275">
        <f>ROUND(AK62,0)</f>
        <v>349146</v>
      </c>
      <c r="F768" s="275">
        <f>ROUND(AK63,0)</f>
        <v>330</v>
      </c>
      <c r="G768" s="275">
        <f>ROUND(AK64,0)</f>
        <v>74625</v>
      </c>
      <c r="H768" s="275">
        <f>ROUND(AK65,0)</f>
        <v>561</v>
      </c>
      <c r="I768" s="275">
        <f>ROUND(AK66,0)</f>
        <v>59554</v>
      </c>
      <c r="J768" s="275">
        <f>ROUND(AK67,0)</f>
        <v>826</v>
      </c>
      <c r="K768" s="275">
        <f>ROUND(AK68,0)</f>
        <v>68581</v>
      </c>
      <c r="L768" s="275">
        <f>ROUND(AK69,0)</f>
        <v>26172</v>
      </c>
      <c r="M768" s="275">
        <f>ROUND(AK70,0)</f>
        <v>0</v>
      </c>
      <c r="N768" s="275">
        <f>ROUND(AK75,0)</f>
        <v>3669533</v>
      </c>
      <c r="O768" s="275">
        <f>ROUND(AK73,0)</f>
        <v>1001200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110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1300804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205*2020*7320*A</v>
      </c>
      <c r="B769" s="275">
        <f>ROUND(AL59,0)</f>
        <v>1022</v>
      </c>
      <c r="C769" s="277">
        <f>ROUND(AL60,2)</f>
        <v>0.65</v>
      </c>
      <c r="D769" s="275">
        <f>ROUND(AL61,0)</f>
        <v>66576</v>
      </c>
      <c r="E769" s="275">
        <f>ROUND(AL62,0)</f>
        <v>12629</v>
      </c>
      <c r="F769" s="275">
        <f>ROUND(AL63,0)</f>
        <v>0</v>
      </c>
      <c r="G769" s="275">
        <f>ROUND(AL64,0)</f>
        <v>4100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3999</v>
      </c>
      <c r="M769" s="275">
        <f>ROUND(AL70,0)</f>
        <v>0</v>
      </c>
      <c r="N769" s="275">
        <f>ROUND(AL75,0)</f>
        <v>510349</v>
      </c>
      <c r="O769" s="275">
        <f>ROUND(AL73,0)</f>
        <v>505067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75011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205*2020*7330*A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205*2020*7340*A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205*2020*7350*A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205*2020*7380*A</v>
      </c>
      <c r="B773" s="275">
        <f>ROUND(AP59,0)</f>
        <v>548322</v>
      </c>
      <c r="C773" s="277">
        <f>ROUND(AP60,2)</f>
        <v>507.49</v>
      </c>
      <c r="D773" s="275">
        <f>ROUND(AP61,0)</f>
        <v>35164531</v>
      </c>
      <c r="E773" s="275">
        <f>ROUND(AP62,0)</f>
        <v>11710947</v>
      </c>
      <c r="F773" s="275">
        <f>ROUND(AP63,0)</f>
        <v>2268840</v>
      </c>
      <c r="G773" s="275">
        <f>ROUND(AP64,0)</f>
        <v>6499890</v>
      </c>
      <c r="H773" s="275">
        <f>ROUND(AP65,0)</f>
        <v>521423</v>
      </c>
      <c r="I773" s="275">
        <f>ROUND(AP66,0)</f>
        <v>2294895</v>
      </c>
      <c r="J773" s="275">
        <f>ROUND(AP67,0)</f>
        <v>685939</v>
      </c>
      <c r="K773" s="275">
        <f>ROUND(AP68,0)</f>
        <v>4173524</v>
      </c>
      <c r="L773" s="275">
        <f>ROUND(AP69,0)</f>
        <v>1755893</v>
      </c>
      <c r="M773" s="275">
        <f>ROUND(AP70,0)</f>
        <v>0</v>
      </c>
      <c r="N773" s="275">
        <f>ROUND(AP75,0)</f>
        <v>151444180</v>
      </c>
      <c r="O773" s="275">
        <f>ROUND(AP73,0)</f>
        <v>65</v>
      </c>
      <c r="P773" s="275">
        <f>IF(AP76&gt;0,ROUND(AP76,0),0)</f>
        <v>97226</v>
      </c>
      <c r="Q773" s="275">
        <f>IF(AP77&gt;0,ROUND(AP77,0),0)</f>
        <v>0</v>
      </c>
      <c r="R773" s="275">
        <f>IF(AP78&gt;0,ROUND(AP78,0),0)</f>
        <v>97226</v>
      </c>
      <c r="S773" s="275">
        <f>IF(AP79&gt;0,ROUND(AP79,0),0)</f>
        <v>67171</v>
      </c>
      <c r="T773" s="277">
        <f>IF(AP80&gt;0,ROUND(AP80,2),0)</f>
        <v>73.430000000000007</v>
      </c>
      <c r="U773" s="275"/>
      <c r="V773" s="276"/>
      <c r="W773" s="275"/>
      <c r="X773" s="275"/>
      <c r="Y773" s="275">
        <f t="shared" si="21"/>
        <v>57231056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205*2020*7390*A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205*2020*7400*A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205*2020*7410*A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205*2020*7420*A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205*2020*7430*A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205*2020*7490*A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4529080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7086384</v>
      </c>
      <c r="O779" s="275">
        <f>ROUND(AV73,0)</f>
        <v>271798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115118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3829588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205*2020*8200*A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12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205*2020*8310*A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205*2020*8320*A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205*2020*8330*A</v>
      </c>
      <c r="B783" s="275">
        <f>ROUND(AZ59,0)</f>
        <v>7017</v>
      </c>
      <c r="C783" s="277">
        <f>ROUND(AZ60,2)</f>
        <v>7.42</v>
      </c>
      <c r="D783" s="275">
        <f>ROUND(AZ61,0)</f>
        <v>305135</v>
      </c>
      <c r="E783" s="275">
        <f>ROUND(AZ62,0)</f>
        <v>128964</v>
      </c>
      <c r="F783" s="275">
        <f>ROUND(AZ63,0)</f>
        <v>0</v>
      </c>
      <c r="G783" s="275">
        <f>ROUND(AZ64,0)</f>
        <v>278025</v>
      </c>
      <c r="H783" s="275">
        <f>ROUND(AZ65,0)</f>
        <v>3225</v>
      </c>
      <c r="I783" s="275">
        <f>ROUND(AZ66,0)</f>
        <v>9389</v>
      </c>
      <c r="J783" s="275">
        <f>ROUND(AZ67,0)</f>
        <v>1055</v>
      </c>
      <c r="K783" s="275">
        <f>ROUND(AZ68,0)</f>
        <v>42686</v>
      </c>
      <c r="L783" s="275">
        <f>ROUND(AZ69,0)</f>
        <v>2581</v>
      </c>
      <c r="M783" s="275">
        <f>ROUND(AZ70,0)</f>
        <v>0</v>
      </c>
      <c r="N783" s="275"/>
      <c r="O783" s="275"/>
      <c r="P783" s="275">
        <f>IF(AZ76&gt;0,ROUND(AZ76,0),0)</f>
        <v>1642</v>
      </c>
      <c r="Q783" s="275">
        <f>IF(AZ77&gt;0,ROUND(AZ77,0),0)</f>
        <v>7017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205*2020*8350*A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111134</v>
      </c>
      <c r="H784" s="275">
        <f>ROUND(BA65,0)</f>
        <v>4766</v>
      </c>
      <c r="I784" s="275">
        <f>ROUND(BA66,0)</f>
        <v>2616</v>
      </c>
      <c r="J784" s="275">
        <f>ROUND(BA67,0)</f>
        <v>0</v>
      </c>
      <c r="K784" s="275">
        <f>ROUND(BA68,0)</f>
        <v>131505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205*2020*8360*A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205*2020*8370*A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205*2020*8420*A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205*2020*8430*A</v>
      </c>
      <c r="B788" s="275">
        <f>ROUND(BE59,0)</f>
        <v>375361</v>
      </c>
      <c r="C788" s="277">
        <f>ROUND(BE60,2)</f>
        <v>9.92</v>
      </c>
      <c r="D788" s="275">
        <f>ROUND(BE61,0)</f>
        <v>626365</v>
      </c>
      <c r="E788" s="275">
        <f>ROUND(BE62,0)</f>
        <v>218539</v>
      </c>
      <c r="F788" s="275">
        <f>ROUND(BE63,0)</f>
        <v>0</v>
      </c>
      <c r="G788" s="275">
        <f>ROUND(BE64,0)</f>
        <v>12756</v>
      </c>
      <c r="H788" s="275">
        <f>ROUND(BE65,0)</f>
        <v>23951</v>
      </c>
      <c r="I788" s="275">
        <f>ROUND(BE66,0)</f>
        <v>1090121</v>
      </c>
      <c r="J788" s="275">
        <f>ROUND(BE67,0)</f>
        <v>114191</v>
      </c>
      <c r="K788" s="275">
        <f>ROUND(BE68,0)</f>
        <v>48142</v>
      </c>
      <c r="L788" s="275">
        <f>ROUND(BE69,0)</f>
        <v>3949</v>
      </c>
      <c r="M788" s="275">
        <f>ROUND(BE70,0)</f>
        <v>0</v>
      </c>
      <c r="N788" s="275"/>
      <c r="O788" s="275"/>
      <c r="P788" s="275">
        <f>IF(BE76&gt;0,ROUND(BE76,0),0)</f>
        <v>15663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205*2020*8460*A</v>
      </c>
      <c r="B789" s="275"/>
      <c r="C789" s="277">
        <f>ROUND(BF60,2)</f>
        <v>22.01</v>
      </c>
      <c r="D789" s="275">
        <f>ROUND(BF61,0)</f>
        <v>870158</v>
      </c>
      <c r="E789" s="275">
        <f>ROUND(BF62,0)</f>
        <v>418013</v>
      </c>
      <c r="F789" s="275">
        <f>ROUND(BF63,0)</f>
        <v>0</v>
      </c>
      <c r="G789" s="275">
        <f>ROUND(BF64,0)</f>
        <v>631277</v>
      </c>
      <c r="H789" s="275">
        <f>ROUND(BF65,0)</f>
        <v>282472</v>
      </c>
      <c r="I789" s="275">
        <f>ROUND(BF66,0)</f>
        <v>155554</v>
      </c>
      <c r="J789" s="275">
        <f>ROUND(BF67,0)</f>
        <v>4931</v>
      </c>
      <c r="K789" s="275">
        <f>ROUND(BF68,0)</f>
        <v>0</v>
      </c>
      <c r="L789" s="275">
        <f>ROUND(BF69,0)</f>
        <v>7074</v>
      </c>
      <c r="M789" s="275">
        <f>ROUND(BF70,0)</f>
        <v>0</v>
      </c>
      <c r="N789" s="275"/>
      <c r="O789" s="275"/>
      <c r="P789" s="275">
        <f>IF(BF76&gt;0,ROUND(BF76,0),0)</f>
        <v>1315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205*2020*8470*A</v>
      </c>
      <c r="B790" s="275"/>
      <c r="C790" s="277">
        <f>ROUND(BG60,2)</f>
        <v>43.45</v>
      </c>
      <c r="D790" s="275">
        <f>ROUND(BG61,0)</f>
        <v>1871437</v>
      </c>
      <c r="E790" s="275">
        <f>ROUND(BG62,0)</f>
        <v>727642</v>
      </c>
      <c r="F790" s="275">
        <f>ROUND(BG63,0)</f>
        <v>2522</v>
      </c>
      <c r="G790" s="275">
        <f>ROUND(BG64,0)</f>
        <v>12231</v>
      </c>
      <c r="H790" s="275">
        <f>ROUND(BG65,0)</f>
        <v>6728</v>
      </c>
      <c r="I790" s="275">
        <f>ROUND(BG66,0)</f>
        <v>60013</v>
      </c>
      <c r="J790" s="275">
        <f>ROUND(BG67,0)</f>
        <v>38301</v>
      </c>
      <c r="K790" s="275">
        <f>ROUND(BG68,0)</f>
        <v>42147</v>
      </c>
      <c r="L790" s="275">
        <f>ROUND(BG69,0)</f>
        <v>2899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205*2020*8480*A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1191</v>
      </c>
      <c r="I791" s="275">
        <f>ROUND(BH66,0)</f>
        <v>0</v>
      </c>
      <c r="J791" s="275">
        <f>ROUND(BH67,0)</f>
        <v>174299</v>
      </c>
      <c r="K791" s="275">
        <f>ROUND(BH68,0)</f>
        <v>18271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3673</v>
      </c>
      <c r="Q791" s="275">
        <f>IF(BH77&gt;0,ROUND(BH77,0),0)</f>
        <v>0</v>
      </c>
      <c r="R791" s="275">
        <f>IF(BH78&gt;0,ROUND(BH78,0),0)</f>
        <v>3673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205*2020*8490*A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205*2020*8510*A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587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205*2020*8530*A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205*2020*8560*A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205*2020*8590*A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205*2020*8610*A</v>
      </c>
      <c r="B797" s="275"/>
      <c r="C797" s="277">
        <f>ROUND(BN60,2)</f>
        <v>3.19</v>
      </c>
      <c r="D797" s="275">
        <f>ROUND(BN61,0)</f>
        <v>1671420</v>
      </c>
      <c r="E797" s="275">
        <f>ROUND(BN62,0)</f>
        <v>1783101</v>
      </c>
      <c r="F797" s="275">
        <f>ROUND(BN63,0)</f>
        <v>101032308</v>
      </c>
      <c r="G797" s="275">
        <f>ROUND(BN64,0)</f>
        <v>-140833</v>
      </c>
      <c r="H797" s="275">
        <f>ROUND(BN65,0)</f>
        <v>73366</v>
      </c>
      <c r="I797" s="275">
        <f>ROUND(BN66,0)</f>
        <v>130716</v>
      </c>
      <c r="J797" s="275">
        <f>ROUND(BN67,0)</f>
        <v>186745</v>
      </c>
      <c r="K797" s="275">
        <f>ROUND(BN68,0)</f>
        <v>591847</v>
      </c>
      <c r="L797" s="275">
        <f>ROUND(BN69,0)</f>
        <v>4306801</v>
      </c>
      <c r="M797" s="275">
        <f>ROUND(BN70,0)</f>
        <v>0</v>
      </c>
      <c r="N797" s="275"/>
      <c r="O797" s="275"/>
      <c r="P797" s="275">
        <f>IF(BN76&gt;0,ROUND(BN76,0),0)</f>
        <v>18469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205*2020*8620*A</v>
      </c>
      <c r="B798" s="275"/>
      <c r="C798" s="277">
        <f>ROUND(BO60,2)</f>
        <v>2.0499999999999998</v>
      </c>
      <c r="D798" s="275">
        <f>ROUND(BO61,0)</f>
        <v>150096</v>
      </c>
      <c r="E798" s="275">
        <f>ROUND(BO62,0)</f>
        <v>42939</v>
      </c>
      <c r="F798" s="275">
        <f>ROUND(BO63,0)</f>
        <v>0</v>
      </c>
      <c r="G798" s="275">
        <f>ROUND(BO64,0)</f>
        <v>97186</v>
      </c>
      <c r="H798" s="275">
        <f>ROUND(BO65,0)</f>
        <v>304</v>
      </c>
      <c r="I798" s="275">
        <f>ROUND(BO66,0)</f>
        <v>34229</v>
      </c>
      <c r="J798" s="275">
        <f>ROUND(BO67,0)</f>
        <v>0</v>
      </c>
      <c r="K798" s="275">
        <f>ROUND(BO68,0)</f>
        <v>66</v>
      </c>
      <c r="L798" s="275">
        <f>ROUND(BO69,0)</f>
        <v>305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205*2020*8630*A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54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236361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205*2020*8640*A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205*2020*8650*A</v>
      </c>
      <c r="B801" s="275"/>
      <c r="C801" s="277">
        <f>ROUND(BR60,2)</f>
        <v>0.46</v>
      </c>
      <c r="D801" s="275">
        <f>ROUND(BR61,0)</f>
        <v>39483</v>
      </c>
      <c r="E801" s="275">
        <f>ROUND(BR62,0)</f>
        <v>4878</v>
      </c>
      <c r="F801" s="275">
        <f>ROUND(BR63,0)</f>
        <v>0</v>
      </c>
      <c r="G801" s="275">
        <f>ROUND(BR64,0)</f>
        <v>2131</v>
      </c>
      <c r="H801" s="275">
        <f>ROUND(BR65,0)</f>
        <v>160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115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205*2020*8660*A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205*2020*8670*A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205*2020*8680*A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205*2020*8690*A</v>
      </c>
      <c r="B805" s="275"/>
      <c r="C805" s="277">
        <f>ROUND(BV60,2)</f>
        <v>13.98</v>
      </c>
      <c r="D805" s="275">
        <f>ROUND(BV61,0)</f>
        <v>578499</v>
      </c>
      <c r="E805" s="275">
        <f>ROUND(BV62,0)</f>
        <v>254547</v>
      </c>
      <c r="F805" s="275">
        <f>ROUND(BV63,0)</f>
        <v>0</v>
      </c>
      <c r="G805" s="275">
        <f>ROUND(BV64,0)</f>
        <v>5301</v>
      </c>
      <c r="H805" s="275">
        <f>ROUND(BV65,0)</f>
        <v>2596</v>
      </c>
      <c r="I805" s="275">
        <f>ROUND(BV66,0)</f>
        <v>1034</v>
      </c>
      <c r="J805" s="275">
        <f>ROUND(BV67,0)</f>
        <v>0</v>
      </c>
      <c r="K805" s="275">
        <f>ROUND(BV68,0)</f>
        <v>0</v>
      </c>
      <c r="L805" s="275">
        <f>ROUND(BV69,0)</f>
        <v>225</v>
      </c>
      <c r="M805" s="275">
        <f>ROUND(BV70,0)</f>
        <v>0</v>
      </c>
      <c r="N805" s="275"/>
      <c r="O805" s="275"/>
      <c r="P805" s="275">
        <f>IF(BV76&gt;0,ROUND(BV76,0),0)</f>
        <v>17502</v>
      </c>
      <c r="Q805" s="275">
        <f>IF(BV77&gt;0,ROUND(BV77,0),0)</f>
        <v>0</v>
      </c>
      <c r="R805" s="275">
        <f>IF(BV78&gt;0,ROUND(BV78,0),0)</f>
        <v>17502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205*2020*8700*A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205*2020*8710*A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205*2020*8720*A</v>
      </c>
      <c r="B808" s="275"/>
      <c r="C808" s="277">
        <f>ROUND(BY60,2)</f>
        <v>0</v>
      </c>
      <c r="D808" s="275">
        <f>ROUND(BY61,0)</f>
        <v>0</v>
      </c>
      <c r="E808" s="275">
        <f>ROUND(BY62,0)</f>
        <v>0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0</v>
      </c>
      <c r="J808" s="275">
        <f>ROUND(BY67,0)</f>
        <v>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205*2020*8730*A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205*2020*8740*A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205*2020*8770*A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205*2020*8790*A</v>
      </c>
      <c r="B812" s="275"/>
      <c r="C812" s="277">
        <f>ROUND(CC60,2)</f>
        <v>21.05</v>
      </c>
      <c r="D812" s="275">
        <f>ROUND(CC61,0)</f>
        <v>1380706</v>
      </c>
      <c r="E812" s="275">
        <f>ROUND(CC62,0)</f>
        <v>429274</v>
      </c>
      <c r="F812" s="275">
        <f>ROUND(CC63,0)</f>
        <v>-149799</v>
      </c>
      <c r="G812" s="275">
        <f>ROUND(CC64,0)</f>
        <v>583825</v>
      </c>
      <c r="H812" s="275">
        <f>ROUND(CC65,0)</f>
        <v>982</v>
      </c>
      <c r="I812" s="275">
        <f>ROUND(CC66,0)</f>
        <v>1814172</v>
      </c>
      <c r="J812" s="275">
        <f>ROUND(CC67,0)</f>
        <v>0</v>
      </c>
      <c r="K812" s="275">
        <f>ROUND(CC68,0)</f>
        <v>14799</v>
      </c>
      <c r="L812" s="275">
        <f>ROUND(CC69,0)</f>
        <v>20868</v>
      </c>
      <c r="M812" s="275">
        <f>ROUND(CC70,0)</f>
        <v>0</v>
      </c>
      <c r="N812" s="275"/>
      <c r="O812" s="275"/>
      <c r="P812" s="275">
        <f>IF(CC76&gt;0,ROUND(CC76,0),0)</f>
        <v>31318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205*2020*9000*A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1058.18</v>
      </c>
      <c r="D815" s="276">
        <f t="shared" si="22"/>
        <v>73295792</v>
      </c>
      <c r="E815" s="276">
        <f t="shared" si="22"/>
        <v>25541959</v>
      </c>
      <c r="F815" s="276">
        <f t="shared" si="22"/>
        <v>104018922</v>
      </c>
      <c r="G815" s="276">
        <f t="shared" si="22"/>
        <v>22757889</v>
      </c>
      <c r="H815" s="276">
        <f t="shared" si="22"/>
        <v>1142064</v>
      </c>
      <c r="I815" s="276">
        <f t="shared" si="22"/>
        <v>15477374</v>
      </c>
      <c r="J815" s="276">
        <f t="shared" si="22"/>
        <v>2347920</v>
      </c>
      <c r="K815" s="276">
        <f t="shared" si="22"/>
        <v>8406011</v>
      </c>
      <c r="L815" s="276">
        <f>SUM(L734:L813)+SUM(U734:U813)</f>
        <v>8195159</v>
      </c>
      <c r="M815" s="276">
        <f>SUM(M734:M813)+SUM(V734:V813)</f>
        <v>0</v>
      </c>
      <c r="N815" s="276">
        <f t="shared" ref="N815:Y815" si="23">SUM(N734:N813)</f>
        <v>454610985</v>
      </c>
      <c r="O815" s="276">
        <f t="shared" si="23"/>
        <v>16221048</v>
      </c>
      <c r="P815" s="276">
        <f t="shared" si="23"/>
        <v>375361</v>
      </c>
      <c r="Q815" s="276">
        <f t="shared" si="23"/>
        <v>14034</v>
      </c>
      <c r="R815" s="276">
        <f t="shared" si="23"/>
        <v>306367</v>
      </c>
      <c r="S815" s="276">
        <f t="shared" si="23"/>
        <v>454652</v>
      </c>
      <c r="T815" s="280">
        <f t="shared" si="23"/>
        <v>153.66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123667076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1058.18</v>
      </c>
      <c r="D816" s="276">
        <f>CE61</f>
        <v>73295795.819999993</v>
      </c>
      <c r="E816" s="276">
        <f>CE62</f>
        <v>25541959</v>
      </c>
      <c r="F816" s="276">
        <f>CE63</f>
        <v>104018921.31</v>
      </c>
      <c r="G816" s="276">
        <f>CE64</f>
        <v>22757890.519999992</v>
      </c>
      <c r="H816" s="279">
        <f>CE65</f>
        <v>1142066.2599999998</v>
      </c>
      <c r="I816" s="279">
        <f>CE66</f>
        <v>15477374.939999998</v>
      </c>
      <c r="J816" s="279">
        <f>CE67</f>
        <v>2347920</v>
      </c>
      <c r="K816" s="279">
        <f>CE68</f>
        <v>8406009.9699999988</v>
      </c>
      <c r="L816" s="279">
        <f>CE69</f>
        <v>8195161.29</v>
      </c>
      <c r="M816" s="279">
        <f>CE70</f>
        <v>0</v>
      </c>
      <c r="N816" s="276">
        <f>CE75</f>
        <v>454610984.88999993</v>
      </c>
      <c r="O816" s="276">
        <f>CE73</f>
        <v>16221047.689999999</v>
      </c>
      <c r="P816" s="276">
        <f>CE76</f>
        <v>375361</v>
      </c>
      <c r="Q816" s="276">
        <f>CE77</f>
        <v>14034</v>
      </c>
      <c r="R816" s="276">
        <f>CE78</f>
        <v>306367</v>
      </c>
      <c r="S816" s="276">
        <f>CE79</f>
        <v>454652</v>
      </c>
      <c r="T816" s="280">
        <f>CE80</f>
        <v>153.66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123667076.84999999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73290684</v>
      </c>
      <c r="E817" s="180">
        <f>C379</f>
        <v>25590337</v>
      </c>
      <c r="F817" s="180">
        <f>C380</f>
        <v>104018921</v>
      </c>
      <c r="G817" s="239">
        <f>C381</f>
        <v>22757883</v>
      </c>
      <c r="H817" s="239">
        <f>C382</f>
        <v>1142066</v>
      </c>
      <c r="I817" s="239">
        <f>C383</f>
        <v>15477376</v>
      </c>
      <c r="J817" s="239">
        <f>C384</f>
        <v>2490864</v>
      </c>
      <c r="K817" s="239">
        <f>C385</f>
        <v>8263067</v>
      </c>
      <c r="L817" s="239">
        <f>C386+C387+C388+C389</f>
        <v>8195162</v>
      </c>
      <c r="M817" s="239">
        <f>C370</f>
        <v>26639325</v>
      </c>
      <c r="N817" s="180">
        <f>D361</f>
        <v>454614000</v>
      </c>
      <c r="O817" s="180">
        <f>C359</f>
        <v>16221048</v>
      </c>
    </row>
  </sheetData>
  <sheetProtection algorithmName="SHA-512" hashValue="EjyzW9bNULPRyPZx0QEe4AmgHhIXFm8idic2C24bWMI4hkAPrs/oZNJJ0f5GUgWhAoYJ2dDy5NZ7OjLj/hXCnA==" saltValue="mOxXnGDKVdKcxw7JBg/Rdw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75" transitionEvaluation="1" transitionEntry="1" codeName="Sheet10">
    <pageSetUpPr autoPageBreaks="0" fitToPage="1"/>
  </sheetPr>
  <dimension ref="A1:CF816"/>
  <sheetViews>
    <sheetView showGridLines="0" topLeftCell="A375" zoomScale="75" workbookViewId="0">
      <selection activeCell="C392" sqref="C39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1" t="s">
        <v>1231</v>
      </c>
      <c r="B1" s="232"/>
      <c r="C1" s="232"/>
      <c r="D1" s="232"/>
      <c r="E1" s="232"/>
      <c r="F1" s="232"/>
    </row>
    <row r="2" spans="1:6" ht="12.75" customHeight="1" x14ac:dyDescent="0.35">
      <c r="A2" s="232" t="s">
        <v>1232</v>
      </c>
      <c r="B2" s="232"/>
      <c r="C2" s="233"/>
      <c r="D2" s="232"/>
      <c r="E2" s="232"/>
      <c r="F2" s="232"/>
    </row>
    <row r="3" spans="1:6" ht="12.75" customHeight="1" x14ac:dyDescent="0.35">
      <c r="A3" s="199"/>
      <c r="C3" s="234"/>
    </row>
    <row r="4" spans="1:6" ht="12.75" customHeight="1" x14ac:dyDescent="0.35">
      <c r="C4" s="234"/>
    </row>
    <row r="5" spans="1:6" ht="12.75" customHeight="1" x14ac:dyDescent="0.35">
      <c r="A5" s="199" t="s">
        <v>1258</v>
      </c>
      <c r="C5" s="234"/>
    </row>
    <row r="6" spans="1:6" ht="12.75" customHeight="1" x14ac:dyDescent="0.35">
      <c r="A6" s="199" t="s">
        <v>0</v>
      </c>
      <c r="C6" s="234"/>
    </row>
    <row r="7" spans="1:6" ht="12.75" customHeight="1" x14ac:dyDescent="0.35">
      <c r="A7" s="199" t="s">
        <v>1</v>
      </c>
      <c r="C7" s="234"/>
    </row>
    <row r="8" spans="1:6" ht="12.75" customHeight="1" x14ac:dyDescent="0.35">
      <c r="C8" s="234"/>
    </row>
    <row r="9" spans="1:6" ht="12.75" customHeight="1" x14ac:dyDescent="0.35">
      <c r="C9" s="234"/>
    </row>
    <row r="10" spans="1:6" ht="12.75" customHeight="1" x14ac:dyDescent="0.35">
      <c r="A10" s="198" t="s">
        <v>1228</v>
      </c>
      <c r="C10" s="234"/>
    </row>
    <row r="11" spans="1:6" ht="12.75" customHeight="1" x14ac:dyDescent="0.35">
      <c r="A11" s="198" t="s">
        <v>1230</v>
      </c>
      <c r="C11" s="234"/>
    </row>
    <row r="12" spans="1:6" ht="12.75" customHeight="1" x14ac:dyDescent="0.35">
      <c r="C12" s="234"/>
    </row>
    <row r="13" spans="1:6" ht="12.75" customHeight="1" x14ac:dyDescent="0.35">
      <c r="C13" s="234"/>
    </row>
    <row r="14" spans="1:6" ht="12.75" customHeight="1" x14ac:dyDescent="0.35">
      <c r="A14" s="199" t="s">
        <v>2</v>
      </c>
      <c r="C14" s="234"/>
    </row>
    <row r="15" spans="1:6" ht="12.75" customHeight="1" x14ac:dyDescent="0.35">
      <c r="A15" s="199"/>
      <c r="C15" s="234"/>
    </row>
    <row r="16" spans="1:6" ht="12.75" customHeight="1" x14ac:dyDescent="0.35">
      <c r="A16" s="291" t="s">
        <v>1265</v>
      </c>
      <c r="C16" s="234"/>
    </row>
    <row r="17" spans="1:7" ht="12.75" customHeight="1" x14ac:dyDescent="0.35">
      <c r="A17" s="291" t="s">
        <v>1264</v>
      </c>
      <c r="C17" s="286"/>
      <c r="F17" s="235"/>
    </row>
    <row r="18" spans="1:7" ht="12.75" customHeight="1" x14ac:dyDescent="0.35">
      <c r="A18" s="289"/>
      <c r="C18" s="234"/>
    </row>
    <row r="19" spans="1:7" ht="12.75" customHeight="1" x14ac:dyDescent="0.35">
      <c r="C19" s="234"/>
    </row>
    <row r="20" spans="1:7" ht="12.75" customHeight="1" x14ac:dyDescent="0.35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5">
      <c r="A21" s="199"/>
      <c r="C21" s="234"/>
    </row>
    <row r="22" spans="1:7" ht="12.65" customHeight="1" x14ac:dyDescent="0.35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5">
      <c r="B23" s="199"/>
      <c r="C23" s="234"/>
    </row>
    <row r="24" spans="1:7" ht="12.65" customHeight="1" x14ac:dyDescent="0.35">
      <c r="A24" s="239" t="s">
        <v>3</v>
      </c>
      <c r="C24" s="234"/>
    </row>
    <row r="25" spans="1:7" ht="12.65" customHeight="1" x14ac:dyDescent="0.35">
      <c r="A25" s="198" t="s">
        <v>1234</v>
      </c>
      <c r="C25" s="234"/>
    </row>
    <row r="26" spans="1:7" ht="12.65" customHeight="1" x14ac:dyDescent="0.35">
      <c r="A26" s="199" t="s">
        <v>4</v>
      </c>
      <c r="C26" s="234"/>
    </row>
    <row r="27" spans="1:7" ht="12.65" customHeight="1" x14ac:dyDescent="0.35">
      <c r="A27" s="198" t="s">
        <v>1235</v>
      </c>
      <c r="C27" s="234"/>
    </row>
    <row r="28" spans="1:7" ht="12.65" customHeight="1" x14ac:dyDescent="0.35">
      <c r="A28" s="199" t="s">
        <v>5</v>
      </c>
      <c r="C28" s="234"/>
    </row>
    <row r="29" spans="1:7" ht="12.65" customHeight="1" x14ac:dyDescent="0.35">
      <c r="A29" s="198"/>
      <c r="C29" s="234"/>
    </row>
    <row r="30" spans="1:7" ht="12.65" customHeight="1" x14ac:dyDescent="0.35">
      <c r="A30" s="180" t="s">
        <v>6</v>
      </c>
      <c r="C30" s="234"/>
    </row>
    <row r="31" spans="1:7" ht="12.65" customHeight="1" x14ac:dyDescent="0.35">
      <c r="A31" s="199" t="s">
        <v>7</v>
      </c>
      <c r="C31" s="234"/>
    </row>
    <row r="32" spans="1:7" ht="12.65" customHeight="1" x14ac:dyDescent="0.35">
      <c r="A32" s="199" t="s">
        <v>8</v>
      </c>
      <c r="C32" s="234"/>
    </row>
    <row r="33" spans="1:84" ht="12.65" customHeight="1" x14ac:dyDescent="0.35">
      <c r="A33" s="198" t="s">
        <v>1236</v>
      </c>
      <c r="C33" s="234"/>
    </row>
    <row r="34" spans="1:84" ht="12.65" customHeight="1" x14ac:dyDescent="0.35">
      <c r="A34" s="199" t="s">
        <v>9</v>
      </c>
      <c r="C34" s="234"/>
    </row>
    <row r="35" spans="1:84" ht="12.65" customHeight="1" x14ac:dyDescent="0.35">
      <c r="A35" s="199"/>
      <c r="C35" s="234"/>
    </row>
    <row r="36" spans="1:84" ht="12.65" customHeight="1" x14ac:dyDescent="0.35">
      <c r="A36" s="198" t="s">
        <v>1237</v>
      </c>
      <c r="C36" s="234"/>
    </row>
    <row r="37" spans="1:84" ht="12.65" customHeight="1" x14ac:dyDescent="0.35">
      <c r="A37" s="199" t="s">
        <v>1229</v>
      </c>
      <c r="C37" s="234"/>
    </row>
    <row r="38" spans="1:84" ht="12" customHeight="1" x14ac:dyDescent="0.35">
      <c r="A38" s="198"/>
      <c r="C38" s="234"/>
    </row>
    <row r="39" spans="1:84" ht="12.65" customHeight="1" x14ac:dyDescent="0.35">
      <c r="A39" s="199"/>
      <c r="C39" s="234"/>
    </row>
    <row r="40" spans="1:84" ht="12" customHeight="1" x14ac:dyDescent="0.35">
      <c r="A40" s="199"/>
      <c r="C40" s="234"/>
    </row>
    <row r="41" spans="1:84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4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4" ht="12" customHeight="1" x14ac:dyDescent="0.35">
      <c r="A43" s="199"/>
      <c r="C43" s="234"/>
      <c r="F43" s="181"/>
    </row>
    <row r="44" spans="1:84" ht="12" customHeight="1" x14ac:dyDescent="0.35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5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5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5">
      <c r="A47" s="294" t="s">
        <v>204</v>
      </c>
      <c r="B47" s="298"/>
      <c r="C47" s="299"/>
      <c r="D47" s="299"/>
      <c r="E47" s="299">
        <v>326830</v>
      </c>
      <c r="F47" s="299"/>
      <c r="G47" s="299">
        <v>556296</v>
      </c>
      <c r="H47" s="299"/>
      <c r="I47" s="299"/>
      <c r="J47" s="299"/>
      <c r="K47" s="299"/>
      <c r="L47" s="299"/>
      <c r="M47" s="299"/>
      <c r="N47" s="299"/>
      <c r="O47" s="299"/>
      <c r="P47" s="299">
        <v>1185926</v>
      </c>
      <c r="Q47" s="299">
        <v>362832</v>
      </c>
      <c r="R47" s="299">
        <v>0</v>
      </c>
      <c r="S47" s="299">
        <v>112408</v>
      </c>
      <c r="T47" s="299"/>
      <c r="U47" s="299">
        <v>297758</v>
      </c>
      <c r="V47" s="299"/>
      <c r="W47" s="299"/>
      <c r="X47" s="299">
        <v>90658</v>
      </c>
      <c r="Y47" s="299">
        <v>1038733</v>
      </c>
      <c r="Z47" s="299">
        <v>0</v>
      </c>
      <c r="AA47" s="299">
        <v>0</v>
      </c>
      <c r="AB47" s="299">
        <v>191002</v>
      </c>
      <c r="AC47" s="299">
        <v>12159</v>
      </c>
      <c r="AD47" s="299"/>
      <c r="AE47" s="299">
        <v>605266</v>
      </c>
      <c r="AF47" s="299"/>
      <c r="AG47" s="299"/>
      <c r="AH47" s="299"/>
      <c r="AI47" s="299"/>
      <c r="AJ47" s="299">
        <v>5056421</v>
      </c>
      <c r="AK47" s="299">
        <v>391859</v>
      </c>
      <c r="AL47" s="299">
        <v>20680</v>
      </c>
      <c r="AM47" s="299"/>
      <c r="AN47" s="299"/>
      <c r="AO47" s="299"/>
      <c r="AP47" s="299">
        <v>11336571</v>
      </c>
      <c r="AQ47" s="299"/>
      <c r="AR47" s="299"/>
      <c r="AS47" s="299"/>
      <c r="AT47" s="299"/>
      <c r="AU47" s="299"/>
      <c r="AV47" s="299">
        <v>0</v>
      </c>
      <c r="AW47" s="299">
        <v>-57</v>
      </c>
      <c r="AX47" s="299"/>
      <c r="AY47" s="299"/>
      <c r="AZ47" s="299">
        <v>129637</v>
      </c>
      <c r="BA47" s="299">
        <v>0</v>
      </c>
      <c r="BB47" s="299"/>
      <c r="BC47" s="299"/>
      <c r="BD47" s="299"/>
      <c r="BE47" s="299">
        <v>193497</v>
      </c>
      <c r="BF47" s="299">
        <v>387391</v>
      </c>
      <c r="BG47" s="299">
        <v>258288</v>
      </c>
      <c r="BH47" s="299">
        <v>0</v>
      </c>
      <c r="BI47" s="299"/>
      <c r="BJ47" s="299"/>
      <c r="BK47" s="299">
        <v>38329</v>
      </c>
      <c r="BL47" s="299"/>
      <c r="BM47" s="299"/>
      <c r="BN47" s="299">
        <v>483437</v>
      </c>
      <c r="BO47" s="299">
        <v>22442</v>
      </c>
      <c r="BP47" s="299"/>
      <c r="BQ47" s="299"/>
      <c r="BR47" s="299"/>
      <c r="BS47" s="299"/>
      <c r="BT47" s="299"/>
      <c r="BU47" s="299"/>
      <c r="BV47" s="299">
        <v>66686</v>
      </c>
      <c r="BW47" s="299"/>
      <c r="BX47" s="299"/>
      <c r="BY47" s="299"/>
      <c r="BZ47" s="299"/>
      <c r="CA47" s="299"/>
      <c r="CB47" s="299"/>
      <c r="CC47" s="299">
        <f>22+27725</f>
        <v>27747</v>
      </c>
      <c r="CD47" s="294"/>
      <c r="CE47" s="294">
        <f>SUM(C47:CC47)</f>
        <v>23192796</v>
      </c>
      <c r="CF47" s="2"/>
    </row>
    <row r="48" spans="1:84" ht="12.65" customHeight="1" x14ac:dyDescent="0.35">
      <c r="A48" s="294" t="s">
        <v>205</v>
      </c>
      <c r="B48" s="298"/>
      <c r="C48" s="300">
        <f>ROUND(((B48/CE61)*C61),0)</f>
        <v>0</v>
      </c>
      <c r="D48" s="300">
        <f>ROUND(((B48/CE61)*D61),0)</f>
        <v>0</v>
      </c>
      <c r="E48" s="294">
        <f>ROUND(((B48/CE61)*E61),0)</f>
        <v>0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0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0</v>
      </c>
      <c r="Q48" s="294">
        <f>ROUND(((B48/CE61)*Q61),0)</f>
        <v>0</v>
      </c>
      <c r="R48" s="294">
        <f>ROUND(((B48/CE61)*R61),0)</f>
        <v>0</v>
      </c>
      <c r="S48" s="294">
        <f>ROUND(((B48/CE61)*S61),0)</f>
        <v>0</v>
      </c>
      <c r="T48" s="294">
        <f>ROUND(((B48/CE61)*T61),0)</f>
        <v>0</v>
      </c>
      <c r="U48" s="294">
        <f>ROUND(((B48/CE61)*U61),0)</f>
        <v>0</v>
      </c>
      <c r="V48" s="294">
        <f>ROUND(((B48/CE61)*V61),0)</f>
        <v>0</v>
      </c>
      <c r="W48" s="294">
        <f>ROUND(((B48/CE61)*W61),0)</f>
        <v>0</v>
      </c>
      <c r="X48" s="294">
        <f>ROUND(((B48/CE61)*X61),0)</f>
        <v>0</v>
      </c>
      <c r="Y48" s="294">
        <f>ROUND(((B48/CE61)*Y61),0)</f>
        <v>0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0</v>
      </c>
      <c r="AC48" s="294">
        <f>ROUND(((B48/CE61)*AC61),0)</f>
        <v>0</v>
      </c>
      <c r="AD48" s="294">
        <f>ROUND(((B48/CE61)*AD61),0)</f>
        <v>0</v>
      </c>
      <c r="AE48" s="294">
        <f>ROUND(((B48/CE61)*AE61),0)</f>
        <v>0</v>
      </c>
      <c r="AF48" s="294">
        <f>ROUND(((B48/CE61)*AF61),0)</f>
        <v>0</v>
      </c>
      <c r="AG48" s="294">
        <f>ROUND(((B48/CE61)*AG61),0)</f>
        <v>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0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0</v>
      </c>
      <c r="AZ48" s="294">
        <f>ROUND(((B48/CE61)*AZ61),0)</f>
        <v>0</v>
      </c>
      <c r="BA48" s="294">
        <f>ROUND(((B48/CE61)*BA61),0)</f>
        <v>0</v>
      </c>
      <c r="BB48" s="294">
        <f>ROUND(((B48/CE61)*BB61),0)</f>
        <v>0</v>
      </c>
      <c r="BC48" s="294">
        <f>ROUND(((B48/CE61)*BC61),0)</f>
        <v>0</v>
      </c>
      <c r="BD48" s="294">
        <f>ROUND(((B48/CE61)*BD61),0)</f>
        <v>0</v>
      </c>
      <c r="BE48" s="294">
        <f>ROUND(((B48/CE61)*BE61),0)</f>
        <v>0</v>
      </c>
      <c r="BF48" s="294">
        <f>ROUND(((B48/CE61)*BF61),0)</f>
        <v>0</v>
      </c>
      <c r="BG48" s="294">
        <f>ROUND(((B48/CE61)*BG61),0)</f>
        <v>0</v>
      </c>
      <c r="BH48" s="294">
        <f>ROUND(((B48/CE61)*BH61),0)</f>
        <v>0</v>
      </c>
      <c r="BI48" s="294">
        <f>ROUND(((B48/CE61)*BI61),0)</f>
        <v>0</v>
      </c>
      <c r="BJ48" s="294">
        <f>ROUND(((B48/CE61)*BJ61),0)</f>
        <v>0</v>
      </c>
      <c r="BK48" s="294">
        <f>ROUND(((B48/CE61)*BK61),0)</f>
        <v>0</v>
      </c>
      <c r="BL48" s="294">
        <f>ROUND(((B48/CE61)*BL61),0)</f>
        <v>0</v>
      </c>
      <c r="BM48" s="294">
        <f>ROUND(((B48/CE61)*BM61),0)</f>
        <v>0</v>
      </c>
      <c r="BN48" s="294">
        <f>ROUND(((B48/CE61)*BN61),0)</f>
        <v>0</v>
      </c>
      <c r="BO48" s="294">
        <f>ROUND(((B48/CE61)*BO61),0)</f>
        <v>0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0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0</v>
      </c>
      <c r="BW48" s="294">
        <f>ROUND(((B48/CE61)*BW61),0)</f>
        <v>0</v>
      </c>
      <c r="BX48" s="294">
        <f>ROUND(((B48/CE61)*BX61),0)</f>
        <v>0</v>
      </c>
      <c r="BY48" s="294">
        <f>ROUND(((B48/CE61)*BY61),0)</f>
        <v>0</v>
      </c>
      <c r="BZ48" s="294">
        <f>ROUND(((B48/CE61)*BZ61),0)</f>
        <v>0</v>
      </c>
      <c r="CA48" s="294">
        <f>ROUND(((B48/CE61)*CA61),0)</f>
        <v>0</v>
      </c>
      <c r="CB48" s="294">
        <f>ROUND(((B48/CE61)*CB61),0)</f>
        <v>0</v>
      </c>
      <c r="CC48" s="294">
        <f>ROUND(((B48/CE61)*CC61),0)</f>
        <v>0</v>
      </c>
      <c r="CD48" s="294"/>
      <c r="CE48" s="294">
        <f>SUM(C48:CD48)</f>
        <v>0</v>
      </c>
      <c r="CF48" s="2"/>
    </row>
    <row r="49" spans="1:84" ht="12.65" customHeight="1" x14ac:dyDescent="0.35">
      <c r="A49" s="294" t="s">
        <v>206</v>
      </c>
      <c r="B49" s="294">
        <f>B47+B48</f>
        <v>0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5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5">
      <c r="A51" s="301" t="s">
        <v>207</v>
      </c>
      <c r="B51" s="299"/>
      <c r="C51" s="299"/>
      <c r="D51" s="299"/>
      <c r="E51" s="299">
        <v>24311</v>
      </c>
      <c r="F51" s="299"/>
      <c r="G51" s="299">
        <v>0</v>
      </c>
      <c r="H51" s="299"/>
      <c r="I51" s="299"/>
      <c r="J51" s="299"/>
      <c r="K51" s="299"/>
      <c r="L51" s="299"/>
      <c r="M51" s="299"/>
      <c r="N51" s="299"/>
      <c r="O51" s="299"/>
      <c r="P51" s="299">
        <v>322495</v>
      </c>
      <c r="Q51" s="299">
        <v>4111</v>
      </c>
      <c r="R51" s="299">
        <v>17405</v>
      </c>
      <c r="S51" s="299">
        <v>0</v>
      </c>
      <c r="T51" s="299"/>
      <c r="U51" s="299">
        <v>90464</v>
      </c>
      <c r="V51" s="299"/>
      <c r="W51" s="299"/>
      <c r="X51" s="299">
        <v>0</v>
      </c>
      <c r="Y51" s="299">
        <v>472961</v>
      </c>
      <c r="Z51" s="299"/>
      <c r="AA51" s="299">
        <v>0</v>
      </c>
      <c r="AB51" s="299">
        <v>29165</v>
      </c>
      <c r="AC51" s="299">
        <v>0</v>
      </c>
      <c r="AD51" s="299"/>
      <c r="AE51" s="299">
        <v>26402</v>
      </c>
      <c r="AF51" s="299"/>
      <c r="AG51" s="299"/>
      <c r="AH51" s="299"/>
      <c r="AI51" s="299"/>
      <c r="AJ51" s="299">
        <v>394676</v>
      </c>
      <c r="AK51" s="299">
        <v>826.25</v>
      </c>
      <c r="AL51" s="299">
        <v>0</v>
      </c>
      <c r="AM51" s="299"/>
      <c r="AN51" s="299"/>
      <c r="AO51" s="299"/>
      <c r="AP51" s="299">
        <v>676802</v>
      </c>
      <c r="AQ51" s="299"/>
      <c r="AR51" s="299"/>
      <c r="AS51" s="299"/>
      <c r="AT51" s="299"/>
      <c r="AU51" s="299"/>
      <c r="AV51" s="299">
        <v>0</v>
      </c>
      <c r="AW51" s="299"/>
      <c r="AX51" s="299"/>
      <c r="AY51" s="299"/>
      <c r="AZ51" s="299">
        <v>2110</v>
      </c>
      <c r="BA51" s="299">
        <v>0</v>
      </c>
      <c r="BB51" s="299"/>
      <c r="BC51" s="299"/>
      <c r="BD51" s="299"/>
      <c r="BE51" s="299">
        <v>86075</v>
      </c>
      <c r="BF51" s="299">
        <v>6039</v>
      </c>
      <c r="BG51" s="299">
        <v>0</v>
      </c>
      <c r="BH51" s="299">
        <v>252417</v>
      </c>
      <c r="BI51" s="299"/>
      <c r="BJ51" s="299"/>
      <c r="BK51" s="299">
        <v>0</v>
      </c>
      <c r="BL51" s="299"/>
      <c r="BM51" s="299"/>
      <c r="BN51" s="299">
        <v>267995</v>
      </c>
      <c r="BO51" s="299">
        <v>0</v>
      </c>
      <c r="BP51" s="299"/>
      <c r="BQ51" s="299"/>
      <c r="BR51" s="299"/>
      <c r="BS51" s="299"/>
      <c r="BT51" s="299"/>
      <c r="BU51" s="299"/>
      <c r="BV51" s="299">
        <v>0</v>
      </c>
      <c r="BW51" s="299"/>
      <c r="BX51" s="299"/>
      <c r="BY51" s="299"/>
      <c r="BZ51" s="299"/>
      <c r="CA51" s="299"/>
      <c r="CB51" s="299"/>
      <c r="CC51" s="299">
        <v>0</v>
      </c>
      <c r="CD51" s="294"/>
      <c r="CE51" s="294">
        <f>SUM(C51:CD51)</f>
        <v>2674254.25</v>
      </c>
      <c r="CF51" s="2"/>
    </row>
    <row r="52" spans="1:84" ht="12.65" customHeight="1" x14ac:dyDescent="0.35">
      <c r="A52" s="301" t="s">
        <v>208</v>
      </c>
      <c r="B52" s="299"/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0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0</v>
      </c>
      <c r="Q52" s="294">
        <f>ROUND((B52/(CE76+CF76)*Q76),0)</f>
        <v>0</v>
      </c>
      <c r="R52" s="294">
        <f>ROUND((B52/(CE76+CF76)*R76),0)</f>
        <v>0</v>
      </c>
      <c r="S52" s="294">
        <f>ROUND((B52/(CE76+CF76)*S76),0)</f>
        <v>0</v>
      </c>
      <c r="T52" s="294">
        <f>ROUND((B52/(CE76+CF76)*T76),0)</f>
        <v>0</v>
      </c>
      <c r="U52" s="294">
        <f>ROUND((B52/(CE76+CF76)*U76),0)</f>
        <v>0</v>
      </c>
      <c r="V52" s="294">
        <f>ROUND((B52/(CE76+CF76)*V76),0)</f>
        <v>0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0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0</v>
      </c>
      <c r="AC52" s="294">
        <f>ROUND((B52/(CE76+CF76)*AC76),0)</f>
        <v>0</v>
      </c>
      <c r="AD52" s="294">
        <f>ROUND((B52/(CE76+CF76)*AD76),0)</f>
        <v>0</v>
      </c>
      <c r="AE52" s="294">
        <f>ROUND((B52/(CE76+CF76)*AE76),0)</f>
        <v>0</v>
      </c>
      <c r="AF52" s="294">
        <f>ROUND((B52/(CE76+CF76)*AF76),0)</f>
        <v>0</v>
      </c>
      <c r="AG52" s="294">
        <f>ROUND((B52/(CE76+CF76)*AG76),0)</f>
        <v>0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0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0</v>
      </c>
      <c r="AZ52" s="294">
        <f>ROUND((B52/(CE76+CF76)*AZ76),0)</f>
        <v>0</v>
      </c>
      <c r="BA52" s="294">
        <f>ROUND((B52/(CE76+CF76)*BA76),0)</f>
        <v>0</v>
      </c>
      <c r="BB52" s="294">
        <f>ROUND((B52/(CE76+CF76)*BB76),0)</f>
        <v>0</v>
      </c>
      <c r="BC52" s="294">
        <f>ROUND((B52/(CE76+CF76)*BC76),0)</f>
        <v>0</v>
      </c>
      <c r="BD52" s="294">
        <f>ROUND((B52/(CE76+CF76)*BD76),0)</f>
        <v>0</v>
      </c>
      <c r="BE52" s="294">
        <f>ROUND((B52/(CE76+CF76)*BE76),0)</f>
        <v>0</v>
      </c>
      <c r="BF52" s="294">
        <f>ROUND((B52/(CE76+CF76)*BF76),0)</f>
        <v>0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0</v>
      </c>
      <c r="BJ52" s="294">
        <f>ROUND((B52/(CE76+CF76)*BJ76),0)</f>
        <v>0</v>
      </c>
      <c r="BK52" s="294">
        <f>ROUND((B52/(CE76+CF76)*BK76),0)</f>
        <v>0</v>
      </c>
      <c r="BL52" s="294">
        <f>ROUND((B52/(CE76+CF76)*BL76),0)</f>
        <v>0</v>
      </c>
      <c r="BM52" s="294">
        <f>ROUND((B52/(CE76+CF76)*BM76),0)</f>
        <v>0</v>
      </c>
      <c r="BN52" s="294">
        <f>ROUND((B52/(CE76+CF76)*BN76),0)</f>
        <v>0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0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0</v>
      </c>
      <c r="BW52" s="294">
        <f>ROUND((B52/(CE76+CF76)*BW76),0)</f>
        <v>0</v>
      </c>
      <c r="BX52" s="294">
        <f>ROUND((B52/(CE76+CF76)*BX76),0)</f>
        <v>0</v>
      </c>
      <c r="BY52" s="294">
        <f>ROUND((B52/(CE76+CF76)*BY76),0)</f>
        <v>0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0</v>
      </c>
      <c r="CD52" s="294"/>
      <c r="CE52" s="294">
        <f>SUM(C52:CD52)</f>
        <v>0</v>
      </c>
      <c r="CF52" s="2"/>
    </row>
    <row r="53" spans="1:84" ht="12.65" customHeight="1" x14ac:dyDescent="0.35">
      <c r="A53" s="294" t="s">
        <v>206</v>
      </c>
      <c r="B53" s="294">
        <f>B51+B52</f>
        <v>0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5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5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5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5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5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5">
      <c r="A59" s="301" t="s">
        <v>233</v>
      </c>
      <c r="B59" s="294"/>
      <c r="C59" s="299"/>
      <c r="D59" s="299"/>
      <c r="E59" s="299">
        <v>665</v>
      </c>
      <c r="F59" s="299"/>
      <c r="G59" s="299">
        <v>1640</v>
      </c>
      <c r="H59" s="299"/>
      <c r="I59" s="299"/>
      <c r="J59" s="299"/>
      <c r="K59" s="299"/>
      <c r="L59" s="299"/>
      <c r="M59" s="299"/>
      <c r="N59" s="299"/>
      <c r="O59" s="299"/>
      <c r="P59" s="185">
        <v>375935</v>
      </c>
      <c r="Q59" s="185">
        <v>182118</v>
      </c>
      <c r="R59" s="185">
        <v>384901</v>
      </c>
      <c r="S59" s="247"/>
      <c r="T59" s="247"/>
      <c r="U59" s="224">
        <v>16716</v>
      </c>
      <c r="V59" s="185"/>
      <c r="W59" s="185"/>
      <c r="X59" s="185"/>
      <c r="Y59" s="185">
        <v>702181</v>
      </c>
      <c r="Z59" s="185"/>
      <c r="AA59" s="185">
        <v>566</v>
      </c>
      <c r="AB59" s="247"/>
      <c r="AC59" s="185"/>
      <c r="AD59" s="185"/>
      <c r="AE59" s="185">
        <v>91567</v>
      </c>
      <c r="AF59" s="185"/>
      <c r="AG59" s="185"/>
      <c r="AH59" s="185"/>
      <c r="AI59" s="185"/>
      <c r="AJ59" s="185">
        <v>199478</v>
      </c>
      <c r="AK59" s="185">
        <v>8987</v>
      </c>
      <c r="AL59" s="185"/>
      <c r="AM59" s="185"/>
      <c r="AN59" s="185"/>
      <c r="AO59" s="185"/>
      <c r="AP59" s="185">
        <v>486083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6915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304"/>
      <c r="CE59" s="294"/>
      <c r="CF59" s="2"/>
    </row>
    <row r="60" spans="1:84" ht="12.65" customHeight="1" x14ac:dyDescent="0.35">
      <c r="A60" s="305" t="s">
        <v>234</v>
      </c>
      <c r="B60" s="294"/>
      <c r="C60" s="186"/>
      <c r="D60" s="187"/>
      <c r="E60" s="187">
        <v>14.48</v>
      </c>
      <c r="F60" s="223"/>
      <c r="G60" s="187">
        <v>24.62</v>
      </c>
      <c r="H60" s="187"/>
      <c r="I60" s="187"/>
      <c r="J60" s="223"/>
      <c r="K60" s="187"/>
      <c r="L60" s="187"/>
      <c r="M60" s="187"/>
      <c r="N60" s="187"/>
      <c r="O60" s="187"/>
      <c r="P60" s="221">
        <v>53.23</v>
      </c>
      <c r="Q60" s="221">
        <v>18.55</v>
      </c>
      <c r="R60" s="221">
        <v>0</v>
      </c>
      <c r="S60" s="221">
        <v>6.87</v>
      </c>
      <c r="T60" s="221">
        <v>0</v>
      </c>
      <c r="U60" s="221">
        <v>18.62</v>
      </c>
      <c r="V60" s="221">
        <v>0</v>
      </c>
      <c r="W60" s="221">
        <v>0</v>
      </c>
      <c r="X60" s="221">
        <v>4.5999999999999996</v>
      </c>
      <c r="Y60" s="221">
        <v>54.08</v>
      </c>
      <c r="Z60" s="221"/>
      <c r="AA60" s="221">
        <v>0</v>
      </c>
      <c r="AB60" s="221">
        <v>0.08</v>
      </c>
      <c r="AC60" s="221">
        <v>0.64</v>
      </c>
      <c r="AD60" s="221">
        <v>0</v>
      </c>
      <c r="AE60" s="221">
        <v>26.33</v>
      </c>
      <c r="AF60" s="221">
        <v>0</v>
      </c>
      <c r="AG60" s="221">
        <v>0</v>
      </c>
      <c r="AH60" s="221">
        <v>0</v>
      </c>
      <c r="AI60" s="221">
        <v>0</v>
      </c>
      <c r="AJ60" s="221">
        <v>238.35</v>
      </c>
      <c r="AK60" s="221">
        <v>14.95</v>
      </c>
      <c r="AL60" s="221">
        <v>1.08</v>
      </c>
      <c r="AM60" s="221">
        <v>0</v>
      </c>
      <c r="AN60" s="221">
        <v>0</v>
      </c>
      <c r="AO60" s="221">
        <v>0</v>
      </c>
      <c r="AP60" s="221">
        <v>574.08000000000004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0</v>
      </c>
      <c r="AZ60" s="221">
        <v>9.49</v>
      </c>
      <c r="BA60" s="221">
        <v>0</v>
      </c>
      <c r="BB60" s="221">
        <v>0</v>
      </c>
      <c r="BC60" s="221">
        <v>0</v>
      </c>
      <c r="BD60" s="221">
        <v>0</v>
      </c>
      <c r="BE60" s="221">
        <v>11.56</v>
      </c>
      <c r="BF60" s="221">
        <v>25.71</v>
      </c>
      <c r="BG60" s="221">
        <v>17.41</v>
      </c>
      <c r="BH60" s="221">
        <v>0</v>
      </c>
      <c r="BI60" s="221">
        <v>0</v>
      </c>
      <c r="BJ60" s="221">
        <v>0</v>
      </c>
      <c r="BK60" s="221">
        <v>2.36</v>
      </c>
      <c r="BL60" s="221">
        <v>0</v>
      </c>
      <c r="BM60" s="221">
        <v>0</v>
      </c>
      <c r="BN60" s="221">
        <v>0.7</v>
      </c>
      <c r="BO60" s="221">
        <v>1.01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4.09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2.99</v>
      </c>
      <c r="CD60" s="304" t="s">
        <v>221</v>
      </c>
      <c r="CE60" s="306">
        <f t="shared" ref="CE60:CE70" si="0">SUM(C60:CD60)</f>
        <v>1125.8799999999999</v>
      </c>
      <c r="CF60" s="2"/>
    </row>
    <row r="61" spans="1:84" ht="12.65" customHeight="1" x14ac:dyDescent="0.35">
      <c r="A61" s="301" t="s">
        <v>235</v>
      </c>
      <c r="B61" s="294"/>
      <c r="C61" s="299"/>
      <c r="D61" s="299"/>
      <c r="E61" s="299">
        <v>1045191</v>
      </c>
      <c r="F61" s="185"/>
      <c r="G61" s="299">
        <v>1789464</v>
      </c>
      <c r="H61" s="299"/>
      <c r="I61" s="185"/>
      <c r="J61" s="185"/>
      <c r="K61" s="185"/>
      <c r="L61" s="185"/>
      <c r="M61" s="299"/>
      <c r="N61" s="299"/>
      <c r="O61" s="299"/>
      <c r="P61" s="185">
        <v>4095283</v>
      </c>
      <c r="Q61" s="185">
        <v>1461798</v>
      </c>
      <c r="R61" s="185">
        <v>0</v>
      </c>
      <c r="S61" s="185">
        <v>284400</v>
      </c>
      <c r="T61" s="185"/>
      <c r="U61" s="185">
        <v>794695</v>
      </c>
      <c r="V61" s="185"/>
      <c r="W61" s="185"/>
      <c r="X61" s="185">
        <v>303317</v>
      </c>
      <c r="Y61" s="185">
        <v>3639761</v>
      </c>
      <c r="Z61" s="185"/>
      <c r="AA61" s="185">
        <v>0</v>
      </c>
      <c r="AB61" s="185">
        <v>842048</v>
      </c>
      <c r="AC61" s="185">
        <v>52705</v>
      </c>
      <c r="AD61" s="185"/>
      <c r="AE61" s="185">
        <v>1898687</v>
      </c>
      <c r="AF61" s="185"/>
      <c r="AG61" s="185"/>
      <c r="AH61" s="185"/>
      <c r="AI61" s="185"/>
      <c r="AJ61" s="185">
        <v>16483157</v>
      </c>
      <c r="AK61" s="185">
        <v>1158055</v>
      </c>
      <c r="AL61" s="185">
        <v>102951</v>
      </c>
      <c r="AM61" s="185"/>
      <c r="AN61" s="185"/>
      <c r="AO61" s="185"/>
      <c r="AP61" s="185">
        <v>36620872</v>
      </c>
      <c r="AQ61" s="185"/>
      <c r="AR61" s="185"/>
      <c r="AS61" s="185"/>
      <c r="AT61" s="185"/>
      <c r="AU61" s="185"/>
      <c r="AV61" s="185">
        <v>0</v>
      </c>
      <c r="AW61" s="185">
        <v>-449</v>
      </c>
      <c r="AX61" s="185"/>
      <c r="AY61" s="185"/>
      <c r="AZ61" s="185">
        <v>349526</v>
      </c>
      <c r="BA61" s="185">
        <v>0</v>
      </c>
      <c r="BB61" s="185"/>
      <c r="BC61" s="185"/>
      <c r="BD61" s="185"/>
      <c r="BE61" s="185">
        <v>604108</v>
      </c>
      <c r="BF61" s="185">
        <v>885118</v>
      </c>
      <c r="BG61" s="185">
        <v>693565</v>
      </c>
      <c r="BH61" s="185">
        <v>0</v>
      </c>
      <c r="BI61" s="185"/>
      <c r="BJ61" s="185"/>
      <c r="BK61" s="185">
        <v>104196</v>
      </c>
      <c r="BL61" s="185"/>
      <c r="BM61" s="185"/>
      <c r="BN61" s="185">
        <v>1271282</v>
      </c>
      <c r="BO61" s="185">
        <v>79593</v>
      </c>
      <c r="BP61" s="185"/>
      <c r="BQ61" s="185"/>
      <c r="BR61" s="185"/>
      <c r="BS61" s="185"/>
      <c r="BT61" s="185"/>
      <c r="BU61" s="185"/>
      <c r="BV61" s="185">
        <v>160549</v>
      </c>
      <c r="BW61" s="185"/>
      <c r="BX61" s="185"/>
      <c r="BY61" s="185"/>
      <c r="BZ61" s="185"/>
      <c r="CA61" s="185"/>
      <c r="CB61" s="185"/>
      <c r="CC61" s="185">
        <f>76596+65</f>
        <v>76661</v>
      </c>
      <c r="CD61" s="304" t="s">
        <v>221</v>
      </c>
      <c r="CE61" s="294">
        <f t="shared" si="0"/>
        <v>74796533</v>
      </c>
      <c r="CF61" s="2"/>
    </row>
    <row r="62" spans="1:84" ht="12.65" customHeight="1" x14ac:dyDescent="0.35">
      <c r="A62" s="301" t="s">
        <v>3</v>
      </c>
      <c r="B62" s="294"/>
      <c r="C62" s="294">
        <f t="shared" ref="C62:BN62" si="1">ROUND(C47+C48,0)</f>
        <v>0</v>
      </c>
      <c r="D62" s="294">
        <f t="shared" si="1"/>
        <v>0</v>
      </c>
      <c r="E62" s="294">
        <f t="shared" si="1"/>
        <v>326830</v>
      </c>
      <c r="F62" s="294">
        <f t="shared" si="1"/>
        <v>0</v>
      </c>
      <c r="G62" s="294">
        <f t="shared" si="1"/>
        <v>556296</v>
      </c>
      <c r="H62" s="294">
        <f t="shared" si="1"/>
        <v>0</v>
      </c>
      <c r="I62" s="294">
        <f t="shared" si="1"/>
        <v>0</v>
      </c>
      <c r="J62" s="294">
        <f>ROUND(J47+J48,0)</f>
        <v>0</v>
      </c>
      <c r="K62" s="294">
        <f t="shared" si="1"/>
        <v>0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0</v>
      </c>
      <c r="P62" s="294">
        <f t="shared" si="1"/>
        <v>1185926</v>
      </c>
      <c r="Q62" s="294">
        <f t="shared" si="1"/>
        <v>362832</v>
      </c>
      <c r="R62" s="294">
        <f t="shared" si="1"/>
        <v>0</v>
      </c>
      <c r="S62" s="294">
        <f t="shared" si="1"/>
        <v>112408</v>
      </c>
      <c r="T62" s="294">
        <f t="shared" si="1"/>
        <v>0</v>
      </c>
      <c r="U62" s="294">
        <f t="shared" si="1"/>
        <v>297758</v>
      </c>
      <c r="V62" s="294">
        <f t="shared" si="1"/>
        <v>0</v>
      </c>
      <c r="W62" s="294">
        <f t="shared" si="1"/>
        <v>0</v>
      </c>
      <c r="X62" s="294">
        <f t="shared" si="1"/>
        <v>90658</v>
      </c>
      <c r="Y62" s="294">
        <f t="shared" si="1"/>
        <v>1038733</v>
      </c>
      <c r="Z62" s="294">
        <f t="shared" si="1"/>
        <v>0</v>
      </c>
      <c r="AA62" s="294">
        <f t="shared" si="1"/>
        <v>0</v>
      </c>
      <c r="AB62" s="294">
        <f t="shared" si="1"/>
        <v>191002</v>
      </c>
      <c r="AC62" s="294">
        <f t="shared" si="1"/>
        <v>12159</v>
      </c>
      <c r="AD62" s="294">
        <f t="shared" si="1"/>
        <v>0</v>
      </c>
      <c r="AE62" s="294">
        <f t="shared" si="1"/>
        <v>605266</v>
      </c>
      <c r="AF62" s="294">
        <f t="shared" si="1"/>
        <v>0</v>
      </c>
      <c r="AG62" s="294">
        <f t="shared" si="1"/>
        <v>0</v>
      </c>
      <c r="AH62" s="294">
        <f t="shared" si="1"/>
        <v>0</v>
      </c>
      <c r="AI62" s="294">
        <f t="shared" si="1"/>
        <v>0</v>
      </c>
      <c r="AJ62" s="294">
        <f t="shared" si="1"/>
        <v>5056421</v>
      </c>
      <c r="AK62" s="294">
        <f t="shared" si="1"/>
        <v>391859</v>
      </c>
      <c r="AL62" s="294">
        <f t="shared" si="1"/>
        <v>20680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11336571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-57</v>
      </c>
      <c r="AX62" s="294">
        <f t="shared" si="1"/>
        <v>0</v>
      </c>
      <c r="AY62" s="294">
        <f>ROUND(AY47+AY48,0)</f>
        <v>0</v>
      </c>
      <c r="AZ62" s="294">
        <f>ROUND(AZ47+AZ48,0)</f>
        <v>129637</v>
      </c>
      <c r="BA62" s="294">
        <f>ROUND(BA47+BA48,0)</f>
        <v>0</v>
      </c>
      <c r="BB62" s="294">
        <f t="shared" si="1"/>
        <v>0</v>
      </c>
      <c r="BC62" s="294">
        <f t="shared" si="1"/>
        <v>0</v>
      </c>
      <c r="BD62" s="294">
        <f t="shared" si="1"/>
        <v>0</v>
      </c>
      <c r="BE62" s="294">
        <f t="shared" si="1"/>
        <v>193497</v>
      </c>
      <c r="BF62" s="294">
        <f t="shared" si="1"/>
        <v>387391</v>
      </c>
      <c r="BG62" s="294">
        <f t="shared" si="1"/>
        <v>258288</v>
      </c>
      <c r="BH62" s="294">
        <f t="shared" si="1"/>
        <v>0</v>
      </c>
      <c r="BI62" s="294">
        <f t="shared" si="1"/>
        <v>0</v>
      </c>
      <c r="BJ62" s="294">
        <f t="shared" si="1"/>
        <v>0</v>
      </c>
      <c r="BK62" s="294">
        <f t="shared" si="1"/>
        <v>38329</v>
      </c>
      <c r="BL62" s="294">
        <f t="shared" si="1"/>
        <v>0</v>
      </c>
      <c r="BM62" s="294">
        <f t="shared" si="1"/>
        <v>0</v>
      </c>
      <c r="BN62" s="294">
        <f t="shared" si="1"/>
        <v>483437</v>
      </c>
      <c r="BO62" s="294">
        <f t="shared" ref="BO62:CC62" si="2">ROUND(BO47+BO48,0)</f>
        <v>22442</v>
      </c>
      <c r="BP62" s="294">
        <f t="shared" si="2"/>
        <v>0</v>
      </c>
      <c r="BQ62" s="294">
        <f t="shared" si="2"/>
        <v>0</v>
      </c>
      <c r="BR62" s="294">
        <f t="shared" si="2"/>
        <v>0</v>
      </c>
      <c r="BS62" s="294">
        <f t="shared" si="2"/>
        <v>0</v>
      </c>
      <c r="BT62" s="294">
        <f t="shared" si="2"/>
        <v>0</v>
      </c>
      <c r="BU62" s="294">
        <f t="shared" si="2"/>
        <v>0</v>
      </c>
      <c r="BV62" s="294">
        <f t="shared" si="2"/>
        <v>66686</v>
      </c>
      <c r="BW62" s="294">
        <f t="shared" si="2"/>
        <v>0</v>
      </c>
      <c r="BX62" s="294">
        <f t="shared" si="2"/>
        <v>0</v>
      </c>
      <c r="BY62" s="294">
        <f t="shared" si="2"/>
        <v>0</v>
      </c>
      <c r="BZ62" s="294">
        <f t="shared" si="2"/>
        <v>0</v>
      </c>
      <c r="CA62" s="294">
        <f t="shared" si="2"/>
        <v>0</v>
      </c>
      <c r="CB62" s="294">
        <f t="shared" si="2"/>
        <v>0</v>
      </c>
      <c r="CC62" s="294">
        <f t="shared" si="2"/>
        <v>27747</v>
      </c>
      <c r="CD62" s="304" t="s">
        <v>221</v>
      </c>
      <c r="CE62" s="294">
        <f t="shared" si="0"/>
        <v>23192796</v>
      </c>
      <c r="CF62" s="2"/>
    </row>
    <row r="63" spans="1:84" ht="12.65" customHeight="1" x14ac:dyDescent="0.35">
      <c r="A63" s="301" t="s">
        <v>236</v>
      </c>
      <c r="B63" s="294"/>
      <c r="C63" s="299"/>
      <c r="D63" s="299"/>
      <c r="E63" s="299">
        <v>661</v>
      </c>
      <c r="F63" s="185"/>
      <c r="G63" s="299">
        <v>0</v>
      </c>
      <c r="H63" s="299"/>
      <c r="I63" s="185"/>
      <c r="J63" s="185"/>
      <c r="K63" s="185"/>
      <c r="L63" s="185"/>
      <c r="M63" s="299"/>
      <c r="N63" s="299"/>
      <c r="O63" s="299"/>
      <c r="P63" s="185">
        <v>126009</v>
      </c>
      <c r="Q63" s="185">
        <v>0</v>
      </c>
      <c r="R63" s="185">
        <v>0</v>
      </c>
      <c r="S63" s="185">
        <v>0</v>
      </c>
      <c r="T63" s="185"/>
      <c r="U63" s="185">
        <v>83339</v>
      </c>
      <c r="V63" s="185"/>
      <c r="W63" s="185"/>
      <c r="X63" s="185">
        <v>0</v>
      </c>
      <c r="Y63" s="185">
        <v>370273</v>
      </c>
      <c r="Z63" s="185"/>
      <c r="AA63" s="185">
        <v>0</v>
      </c>
      <c r="AB63" s="185">
        <v>300</v>
      </c>
      <c r="AC63" s="185">
        <v>25281</v>
      </c>
      <c r="AD63" s="185"/>
      <c r="AE63" s="185">
        <v>35776</v>
      </c>
      <c r="AF63" s="185"/>
      <c r="AG63" s="185"/>
      <c r="AH63" s="185"/>
      <c r="AI63" s="185"/>
      <c r="AJ63" s="185">
        <v>673020</v>
      </c>
      <c r="AK63" s="185">
        <v>1134</v>
      </c>
      <c r="AL63" s="185">
        <v>0</v>
      </c>
      <c r="AM63" s="185"/>
      <c r="AN63" s="185"/>
      <c r="AO63" s="185"/>
      <c r="AP63" s="185">
        <v>2948513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/>
      <c r="AZ63" s="185">
        <v>0</v>
      </c>
      <c r="BA63" s="185">
        <v>0</v>
      </c>
      <c r="BB63" s="185"/>
      <c r="BC63" s="185"/>
      <c r="BD63" s="185"/>
      <c r="BE63" s="185">
        <v>0</v>
      </c>
      <c r="BF63" s="185">
        <v>0</v>
      </c>
      <c r="BG63" s="185">
        <v>0</v>
      </c>
      <c r="BH63" s="185">
        <v>0</v>
      </c>
      <c r="BI63" s="185"/>
      <c r="BJ63" s="185"/>
      <c r="BK63" s="185">
        <v>0</v>
      </c>
      <c r="BL63" s="185"/>
      <c r="BM63" s="185"/>
      <c r="BN63" s="185">
        <v>120708295</v>
      </c>
      <c r="BO63" s="185">
        <v>0</v>
      </c>
      <c r="BP63" s="185"/>
      <c r="BQ63" s="185"/>
      <c r="BR63" s="185">
        <v>156</v>
      </c>
      <c r="BS63" s="185"/>
      <c r="BT63" s="185"/>
      <c r="BU63" s="185"/>
      <c r="BV63" s="185">
        <v>0</v>
      </c>
      <c r="BW63" s="185"/>
      <c r="BX63" s="185"/>
      <c r="BY63" s="185"/>
      <c r="BZ63" s="185"/>
      <c r="CA63" s="185"/>
      <c r="CB63" s="185"/>
      <c r="CC63" s="185">
        <v>-1049285</v>
      </c>
      <c r="CD63" s="304" t="s">
        <v>221</v>
      </c>
      <c r="CE63" s="294">
        <f t="shared" si="0"/>
        <v>123923472</v>
      </c>
      <c r="CF63" s="2"/>
    </row>
    <row r="64" spans="1:84" ht="12.65" customHeight="1" x14ac:dyDescent="0.35">
      <c r="A64" s="301" t="s">
        <v>237</v>
      </c>
      <c r="B64" s="294"/>
      <c r="C64" s="299"/>
      <c r="D64" s="299"/>
      <c r="E64" s="185">
        <v>153906</v>
      </c>
      <c r="F64" s="185"/>
      <c r="G64" s="299">
        <v>25535</v>
      </c>
      <c r="H64" s="299"/>
      <c r="I64" s="185"/>
      <c r="J64" s="185"/>
      <c r="K64" s="185"/>
      <c r="L64" s="185"/>
      <c r="M64" s="299"/>
      <c r="N64" s="299"/>
      <c r="O64" s="299"/>
      <c r="P64" s="185">
        <v>3311823</v>
      </c>
      <c r="Q64" s="185">
        <v>244729</v>
      </c>
      <c r="R64" s="185">
        <v>564</v>
      </c>
      <c r="S64" s="185">
        <v>6693759</v>
      </c>
      <c r="T64" s="185">
        <v>461.68</v>
      </c>
      <c r="U64" s="185">
        <v>345145</v>
      </c>
      <c r="V64" s="185"/>
      <c r="W64" s="185"/>
      <c r="X64" s="185">
        <v>110232</v>
      </c>
      <c r="Y64" s="185">
        <v>625500</v>
      </c>
      <c r="Z64" s="185"/>
      <c r="AA64" s="185">
        <v>12646</v>
      </c>
      <c r="AB64" s="185">
        <v>2597504</v>
      </c>
      <c r="AC64" s="185">
        <v>4247</v>
      </c>
      <c r="AD64" s="185"/>
      <c r="AE64" s="185">
        <v>66042</v>
      </c>
      <c r="AF64" s="185"/>
      <c r="AG64" s="185"/>
      <c r="AH64" s="185"/>
      <c r="AI64" s="185"/>
      <c r="AJ64" s="185">
        <v>7409329</v>
      </c>
      <c r="AK64" s="185">
        <v>68255</v>
      </c>
      <c r="AL64" s="185">
        <v>1744</v>
      </c>
      <c r="AM64" s="185"/>
      <c r="AN64" s="185"/>
      <c r="AO64" s="185"/>
      <c r="AP64" s="185">
        <v>8416389</v>
      </c>
      <c r="AQ64" s="185"/>
      <c r="AR64" s="185"/>
      <c r="AS64" s="185"/>
      <c r="AT64" s="185"/>
      <c r="AU64" s="185"/>
      <c r="AV64" s="185">
        <v>0</v>
      </c>
      <c r="AW64" s="185">
        <v>278</v>
      </c>
      <c r="AX64" s="185"/>
      <c r="AY64" s="185"/>
      <c r="AZ64" s="185">
        <v>419741</v>
      </c>
      <c r="BA64" s="185">
        <v>-53195</v>
      </c>
      <c r="BB64" s="185"/>
      <c r="BC64" s="185"/>
      <c r="BD64" s="185"/>
      <c r="BE64" s="185">
        <v>50049</v>
      </c>
      <c r="BF64" s="185">
        <v>569908</v>
      </c>
      <c r="BG64" s="185">
        <v>3217</v>
      </c>
      <c r="BH64" s="185">
        <v>0</v>
      </c>
      <c r="BI64" s="185"/>
      <c r="BJ64" s="185"/>
      <c r="BK64" s="185">
        <v>0</v>
      </c>
      <c r="BL64" s="185"/>
      <c r="BM64" s="185"/>
      <c r="BN64" s="185">
        <v>2287152</v>
      </c>
      <c r="BO64" s="185">
        <v>7692</v>
      </c>
      <c r="BP64" s="185"/>
      <c r="BQ64" s="185"/>
      <c r="BR64" s="185"/>
      <c r="BS64" s="185"/>
      <c r="BT64" s="185"/>
      <c r="BU64" s="185"/>
      <c r="BV64" s="185">
        <v>150</v>
      </c>
      <c r="BW64" s="185"/>
      <c r="BX64" s="185"/>
      <c r="BY64" s="185"/>
      <c r="BZ64" s="185"/>
      <c r="CA64" s="185"/>
      <c r="CB64" s="185"/>
      <c r="CC64" s="185">
        <v>526</v>
      </c>
      <c r="CD64" s="304" t="s">
        <v>221</v>
      </c>
      <c r="CE64" s="294">
        <f t="shared" si="0"/>
        <v>33373328.68</v>
      </c>
      <c r="CF64" s="2"/>
    </row>
    <row r="65" spans="1:84" ht="12.65" customHeight="1" x14ac:dyDescent="0.35">
      <c r="A65" s="301" t="s">
        <v>238</v>
      </c>
      <c r="B65" s="294"/>
      <c r="C65" s="299"/>
      <c r="D65" s="299"/>
      <c r="E65" s="299">
        <v>7923</v>
      </c>
      <c r="F65" s="299"/>
      <c r="G65" s="299">
        <v>11937</v>
      </c>
      <c r="H65" s="299"/>
      <c r="I65" s="185"/>
      <c r="J65" s="299"/>
      <c r="K65" s="185"/>
      <c r="L65" s="185"/>
      <c r="M65" s="299"/>
      <c r="N65" s="299"/>
      <c r="O65" s="299"/>
      <c r="P65" s="185">
        <v>36831</v>
      </c>
      <c r="Q65" s="185">
        <v>8648</v>
      </c>
      <c r="R65" s="185">
        <v>0</v>
      </c>
      <c r="S65" s="185">
        <v>2589</v>
      </c>
      <c r="T65" s="185">
        <v>0</v>
      </c>
      <c r="U65" s="185">
        <v>8953</v>
      </c>
      <c r="V65" s="185"/>
      <c r="W65" s="185"/>
      <c r="X65" s="185">
        <v>3349</v>
      </c>
      <c r="Y65" s="185">
        <v>22335</v>
      </c>
      <c r="Z65" s="185"/>
      <c r="AA65" s="185">
        <v>0</v>
      </c>
      <c r="AB65" s="185">
        <v>6250</v>
      </c>
      <c r="AC65" s="185">
        <v>0</v>
      </c>
      <c r="AD65" s="185"/>
      <c r="AE65" s="185">
        <v>18885</v>
      </c>
      <c r="AF65" s="185"/>
      <c r="AG65" s="185"/>
      <c r="AH65" s="185"/>
      <c r="AI65" s="185"/>
      <c r="AJ65" s="185">
        <v>105024</v>
      </c>
      <c r="AK65" s="185">
        <v>960</v>
      </c>
      <c r="AL65" s="185">
        <v>0</v>
      </c>
      <c r="AM65" s="185"/>
      <c r="AN65" s="185"/>
      <c r="AO65" s="185"/>
      <c r="AP65" s="185">
        <v>564792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/>
      <c r="AZ65" s="185">
        <v>4667</v>
      </c>
      <c r="BA65" s="185">
        <v>5187</v>
      </c>
      <c r="BB65" s="185"/>
      <c r="BC65" s="185"/>
      <c r="BD65" s="185"/>
      <c r="BE65" s="185">
        <v>27970</v>
      </c>
      <c r="BF65" s="185">
        <v>321784</v>
      </c>
      <c r="BG65" s="185">
        <v>2322</v>
      </c>
      <c r="BH65" s="185">
        <v>2005</v>
      </c>
      <c r="BI65" s="185"/>
      <c r="BJ65" s="185"/>
      <c r="BK65" s="185">
        <v>640</v>
      </c>
      <c r="BL65" s="185"/>
      <c r="BM65" s="185"/>
      <c r="BN65" s="185">
        <v>71262</v>
      </c>
      <c r="BO65" s="185">
        <v>0</v>
      </c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/>
      <c r="BZ65" s="185"/>
      <c r="CA65" s="185"/>
      <c r="CB65" s="185"/>
      <c r="CC65" s="185">
        <v>676</v>
      </c>
      <c r="CD65" s="304" t="s">
        <v>221</v>
      </c>
      <c r="CE65" s="294">
        <f t="shared" si="0"/>
        <v>1234989</v>
      </c>
      <c r="CF65" s="2"/>
    </row>
    <row r="66" spans="1:84" ht="12.65" customHeight="1" x14ac:dyDescent="0.35">
      <c r="A66" s="301" t="s">
        <v>239</v>
      </c>
      <c r="B66" s="294"/>
      <c r="C66" s="299"/>
      <c r="D66" s="299"/>
      <c r="E66" s="299">
        <v>29929</v>
      </c>
      <c r="F66" s="299"/>
      <c r="G66" s="299">
        <v>40595</v>
      </c>
      <c r="H66" s="299"/>
      <c r="I66" s="299"/>
      <c r="J66" s="299"/>
      <c r="K66" s="185"/>
      <c r="L66" s="185"/>
      <c r="M66" s="299"/>
      <c r="N66" s="299"/>
      <c r="O66" s="185"/>
      <c r="P66" s="185">
        <v>376380</v>
      </c>
      <c r="Q66" s="185">
        <v>6546</v>
      </c>
      <c r="R66" s="185">
        <v>5400</v>
      </c>
      <c r="S66" s="299">
        <v>0</v>
      </c>
      <c r="T66" s="299">
        <v>705</v>
      </c>
      <c r="U66" s="185">
        <v>809695</v>
      </c>
      <c r="V66" s="185"/>
      <c r="W66" s="185"/>
      <c r="X66" s="185">
        <v>781659</v>
      </c>
      <c r="Y66" s="185">
        <v>4395490</v>
      </c>
      <c r="Z66" s="185"/>
      <c r="AA66" s="185">
        <v>0</v>
      </c>
      <c r="AB66" s="185">
        <v>124147</v>
      </c>
      <c r="AC66" s="185">
        <v>0</v>
      </c>
      <c r="AD66" s="185"/>
      <c r="AE66" s="185">
        <v>6860</v>
      </c>
      <c r="AF66" s="185"/>
      <c r="AG66" s="185"/>
      <c r="AH66" s="185"/>
      <c r="AI66" s="185"/>
      <c r="AJ66" s="185">
        <v>311963</v>
      </c>
      <c r="AK66" s="185">
        <v>48183</v>
      </c>
      <c r="AL66" s="185">
        <v>0</v>
      </c>
      <c r="AM66" s="185"/>
      <c r="AN66" s="185"/>
      <c r="AO66" s="185"/>
      <c r="AP66" s="185">
        <v>1847136</v>
      </c>
      <c r="AQ66" s="185"/>
      <c r="AR66" s="185"/>
      <c r="AS66" s="185"/>
      <c r="AT66" s="185"/>
      <c r="AU66" s="185"/>
      <c r="AV66" s="185">
        <v>5276978</v>
      </c>
      <c r="AW66" s="185">
        <v>39</v>
      </c>
      <c r="AX66" s="185"/>
      <c r="AY66" s="185"/>
      <c r="AZ66" s="185">
        <v>22103</v>
      </c>
      <c r="BA66" s="185">
        <v>0</v>
      </c>
      <c r="BB66" s="185"/>
      <c r="BC66" s="185"/>
      <c r="BD66" s="185"/>
      <c r="BE66" s="185">
        <v>1152140</v>
      </c>
      <c r="BF66" s="185">
        <v>139906</v>
      </c>
      <c r="BG66" s="185">
        <v>0</v>
      </c>
      <c r="BH66" s="185">
        <v>784</v>
      </c>
      <c r="BI66" s="185"/>
      <c r="BJ66" s="185"/>
      <c r="BK66" s="185">
        <v>0</v>
      </c>
      <c r="BL66" s="185"/>
      <c r="BM66" s="185"/>
      <c r="BN66" s="185">
        <v>135775</v>
      </c>
      <c r="BO66" s="185">
        <v>116</v>
      </c>
      <c r="BP66" s="185"/>
      <c r="BQ66" s="185"/>
      <c r="BR66" s="185"/>
      <c r="BS66" s="185"/>
      <c r="BT66" s="185"/>
      <c r="BU66" s="185"/>
      <c r="BV66" s="185">
        <v>0</v>
      </c>
      <c r="BW66" s="185"/>
      <c r="BX66" s="185"/>
      <c r="BY66" s="185"/>
      <c r="BZ66" s="185"/>
      <c r="CA66" s="185"/>
      <c r="CB66" s="185"/>
      <c r="CC66" s="185">
        <v>288493</v>
      </c>
      <c r="CD66" s="304" t="s">
        <v>221</v>
      </c>
      <c r="CE66" s="294">
        <f t="shared" si="0"/>
        <v>15801022</v>
      </c>
      <c r="CF66" s="2"/>
    </row>
    <row r="67" spans="1:84" ht="12.65" customHeight="1" x14ac:dyDescent="0.35">
      <c r="A67" s="301" t="s">
        <v>6</v>
      </c>
      <c r="B67" s="294"/>
      <c r="C67" s="294">
        <f>ROUND(C51+C52,0)</f>
        <v>0</v>
      </c>
      <c r="D67" s="294">
        <f>ROUND(D51+D52,0)</f>
        <v>0</v>
      </c>
      <c r="E67" s="294">
        <f t="shared" ref="E67:BP67" si="3">ROUND(E51+E52,0)</f>
        <v>24311</v>
      </c>
      <c r="F67" s="294">
        <f t="shared" si="3"/>
        <v>0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0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0</v>
      </c>
      <c r="P67" s="294">
        <f t="shared" si="3"/>
        <v>322495</v>
      </c>
      <c r="Q67" s="294">
        <f t="shared" si="3"/>
        <v>4111</v>
      </c>
      <c r="R67" s="294">
        <f t="shared" si="3"/>
        <v>17405</v>
      </c>
      <c r="S67" s="294">
        <f t="shared" si="3"/>
        <v>0</v>
      </c>
      <c r="T67" s="294">
        <f t="shared" si="3"/>
        <v>0</v>
      </c>
      <c r="U67" s="294">
        <f t="shared" si="3"/>
        <v>90464</v>
      </c>
      <c r="V67" s="294">
        <f t="shared" si="3"/>
        <v>0</v>
      </c>
      <c r="W67" s="294">
        <f t="shared" si="3"/>
        <v>0</v>
      </c>
      <c r="X67" s="294">
        <f t="shared" si="3"/>
        <v>0</v>
      </c>
      <c r="Y67" s="294">
        <f t="shared" si="3"/>
        <v>472961</v>
      </c>
      <c r="Z67" s="294">
        <f t="shared" si="3"/>
        <v>0</v>
      </c>
      <c r="AA67" s="294">
        <f t="shared" si="3"/>
        <v>0</v>
      </c>
      <c r="AB67" s="294">
        <f t="shared" si="3"/>
        <v>29165</v>
      </c>
      <c r="AC67" s="294">
        <f t="shared" si="3"/>
        <v>0</v>
      </c>
      <c r="AD67" s="294">
        <f t="shared" si="3"/>
        <v>0</v>
      </c>
      <c r="AE67" s="294">
        <f t="shared" si="3"/>
        <v>26402</v>
      </c>
      <c r="AF67" s="294">
        <f t="shared" si="3"/>
        <v>0</v>
      </c>
      <c r="AG67" s="294">
        <f t="shared" si="3"/>
        <v>0</v>
      </c>
      <c r="AH67" s="294">
        <f t="shared" si="3"/>
        <v>0</v>
      </c>
      <c r="AI67" s="294">
        <f t="shared" si="3"/>
        <v>0</v>
      </c>
      <c r="AJ67" s="294">
        <f t="shared" si="3"/>
        <v>394676</v>
      </c>
      <c r="AK67" s="294">
        <f t="shared" si="3"/>
        <v>826</v>
      </c>
      <c r="AL67" s="294">
        <f t="shared" si="3"/>
        <v>0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676802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0</v>
      </c>
      <c r="AX67" s="294">
        <f t="shared" si="3"/>
        <v>0</v>
      </c>
      <c r="AY67" s="294">
        <f t="shared" si="3"/>
        <v>0</v>
      </c>
      <c r="AZ67" s="294">
        <f>ROUND(AZ51+AZ52,0)</f>
        <v>2110</v>
      </c>
      <c r="BA67" s="294">
        <f>ROUND(BA51+BA52,0)</f>
        <v>0</v>
      </c>
      <c r="BB67" s="294">
        <f t="shared" si="3"/>
        <v>0</v>
      </c>
      <c r="BC67" s="294">
        <f t="shared" si="3"/>
        <v>0</v>
      </c>
      <c r="BD67" s="294">
        <f t="shared" si="3"/>
        <v>0</v>
      </c>
      <c r="BE67" s="294">
        <f t="shared" si="3"/>
        <v>86075</v>
      </c>
      <c r="BF67" s="294">
        <f t="shared" si="3"/>
        <v>6039</v>
      </c>
      <c r="BG67" s="294">
        <f t="shared" si="3"/>
        <v>0</v>
      </c>
      <c r="BH67" s="294">
        <f t="shared" si="3"/>
        <v>252417</v>
      </c>
      <c r="BI67" s="294">
        <f t="shared" si="3"/>
        <v>0</v>
      </c>
      <c r="BJ67" s="294">
        <f t="shared" si="3"/>
        <v>0</v>
      </c>
      <c r="BK67" s="294">
        <f t="shared" si="3"/>
        <v>0</v>
      </c>
      <c r="BL67" s="294">
        <f t="shared" si="3"/>
        <v>0</v>
      </c>
      <c r="BM67" s="294">
        <f t="shared" si="3"/>
        <v>0</v>
      </c>
      <c r="BN67" s="294">
        <f t="shared" si="3"/>
        <v>267995</v>
      </c>
      <c r="BO67" s="294">
        <f t="shared" si="3"/>
        <v>0</v>
      </c>
      <c r="BP67" s="294">
        <f t="shared" si="3"/>
        <v>0</v>
      </c>
      <c r="BQ67" s="294">
        <f t="shared" ref="BQ67:CC67" si="4">ROUND(BQ51+BQ52,0)</f>
        <v>0</v>
      </c>
      <c r="BR67" s="294">
        <f t="shared" si="4"/>
        <v>0</v>
      </c>
      <c r="BS67" s="294">
        <f t="shared" si="4"/>
        <v>0</v>
      </c>
      <c r="BT67" s="294">
        <f t="shared" si="4"/>
        <v>0</v>
      </c>
      <c r="BU67" s="294">
        <f t="shared" si="4"/>
        <v>0</v>
      </c>
      <c r="BV67" s="294">
        <f t="shared" si="4"/>
        <v>0</v>
      </c>
      <c r="BW67" s="294">
        <f t="shared" si="4"/>
        <v>0</v>
      </c>
      <c r="BX67" s="294">
        <f t="shared" si="4"/>
        <v>0</v>
      </c>
      <c r="BY67" s="294">
        <f t="shared" si="4"/>
        <v>0</v>
      </c>
      <c r="BZ67" s="294">
        <f t="shared" si="4"/>
        <v>0</v>
      </c>
      <c r="CA67" s="294">
        <f t="shared" si="4"/>
        <v>0</v>
      </c>
      <c r="CB67" s="294">
        <f t="shared" si="4"/>
        <v>0</v>
      </c>
      <c r="CC67" s="294">
        <f t="shared" si="4"/>
        <v>0</v>
      </c>
      <c r="CD67" s="304" t="s">
        <v>221</v>
      </c>
      <c r="CE67" s="294">
        <f t="shared" si="0"/>
        <v>2674254</v>
      </c>
      <c r="CF67" s="2"/>
    </row>
    <row r="68" spans="1:84" ht="12.65" customHeight="1" x14ac:dyDescent="0.35">
      <c r="A68" s="301" t="s">
        <v>240</v>
      </c>
      <c r="B68" s="294"/>
      <c r="C68" s="299"/>
      <c r="D68" s="299"/>
      <c r="E68" s="299">
        <v>170461</v>
      </c>
      <c r="F68" s="299"/>
      <c r="G68" s="299">
        <v>169055</v>
      </c>
      <c r="H68" s="299"/>
      <c r="I68" s="299"/>
      <c r="J68" s="299"/>
      <c r="K68" s="185"/>
      <c r="L68" s="185"/>
      <c r="M68" s="299"/>
      <c r="N68" s="299"/>
      <c r="O68" s="299"/>
      <c r="P68" s="185">
        <v>491593</v>
      </c>
      <c r="Q68" s="185">
        <v>166383</v>
      </c>
      <c r="R68" s="185">
        <v>0</v>
      </c>
      <c r="S68" s="185">
        <v>44120</v>
      </c>
      <c r="T68" s="185"/>
      <c r="U68" s="185">
        <v>131150</v>
      </c>
      <c r="V68" s="185"/>
      <c r="W68" s="185"/>
      <c r="X68" s="185">
        <v>68940</v>
      </c>
      <c r="Y68" s="185">
        <v>459578</v>
      </c>
      <c r="Z68" s="185"/>
      <c r="AA68" s="185"/>
      <c r="AB68" s="185">
        <v>31874</v>
      </c>
      <c r="AC68" s="185">
        <v>0</v>
      </c>
      <c r="AD68" s="185"/>
      <c r="AE68" s="185">
        <v>220347</v>
      </c>
      <c r="AF68" s="185"/>
      <c r="AG68" s="185"/>
      <c r="AH68" s="185"/>
      <c r="AI68" s="185"/>
      <c r="AJ68" s="185">
        <v>1559439</v>
      </c>
      <c r="AK68" s="185">
        <v>72189</v>
      </c>
      <c r="AL68" s="185">
        <v>0</v>
      </c>
      <c r="AM68" s="185"/>
      <c r="AN68" s="185"/>
      <c r="AO68" s="185"/>
      <c r="AP68" s="185">
        <v>4339312</v>
      </c>
      <c r="AQ68" s="185"/>
      <c r="AR68" s="185"/>
      <c r="AS68" s="185"/>
      <c r="AT68" s="185"/>
      <c r="AU68" s="185"/>
      <c r="AV68" s="185">
        <v>0</v>
      </c>
      <c r="AW68" s="185"/>
      <c r="AX68" s="185"/>
      <c r="AY68" s="185"/>
      <c r="AZ68" s="185">
        <v>41842</v>
      </c>
      <c r="BA68" s="185">
        <v>110224</v>
      </c>
      <c r="BB68" s="185"/>
      <c r="BC68" s="185"/>
      <c r="BD68" s="185"/>
      <c r="BE68" s="185">
        <v>153844</v>
      </c>
      <c r="BF68" s="185">
        <v>80511</v>
      </c>
      <c r="BG68" s="185">
        <v>0</v>
      </c>
      <c r="BH68" s="185">
        <v>18896</v>
      </c>
      <c r="BI68" s="185"/>
      <c r="BJ68" s="185"/>
      <c r="BK68" s="185">
        <v>0</v>
      </c>
      <c r="BL68" s="185"/>
      <c r="BM68" s="185"/>
      <c r="BN68" s="185">
        <v>268467</v>
      </c>
      <c r="BO68" s="185">
        <v>0</v>
      </c>
      <c r="BP68" s="185"/>
      <c r="BQ68" s="185"/>
      <c r="BR68" s="185"/>
      <c r="BS68" s="185"/>
      <c r="BT68" s="185"/>
      <c r="BU68" s="185"/>
      <c r="BV68" s="185">
        <v>0</v>
      </c>
      <c r="BW68" s="185"/>
      <c r="BX68" s="185"/>
      <c r="BY68" s="185"/>
      <c r="BZ68" s="185"/>
      <c r="CA68" s="185"/>
      <c r="CB68" s="185"/>
      <c r="CC68" s="185">
        <f>14141+2449</f>
        <v>16590</v>
      </c>
      <c r="CD68" s="304" t="s">
        <v>221</v>
      </c>
      <c r="CE68" s="294">
        <f t="shared" si="0"/>
        <v>8614815</v>
      </c>
      <c r="CF68" s="2"/>
    </row>
    <row r="69" spans="1:84" ht="12.65" customHeight="1" x14ac:dyDescent="0.35">
      <c r="A69" s="301" t="s">
        <v>241</v>
      </c>
      <c r="B69" s="294"/>
      <c r="C69" s="299"/>
      <c r="D69" s="299"/>
      <c r="E69" s="185">
        <v>6362</v>
      </c>
      <c r="F69" s="185"/>
      <c r="G69" s="299">
        <v>23565</v>
      </c>
      <c r="H69" s="299"/>
      <c r="I69" s="185"/>
      <c r="J69" s="185"/>
      <c r="K69" s="185"/>
      <c r="L69" s="185"/>
      <c r="M69" s="299"/>
      <c r="N69" s="299"/>
      <c r="O69" s="299"/>
      <c r="P69" s="185">
        <v>201814</v>
      </c>
      <c r="Q69" s="185">
        <v>8440</v>
      </c>
      <c r="R69" s="224">
        <v>213280</v>
      </c>
      <c r="S69" s="185">
        <v>2260</v>
      </c>
      <c r="T69" s="299"/>
      <c r="U69" s="185">
        <v>27797</v>
      </c>
      <c r="V69" s="185"/>
      <c r="W69" s="299"/>
      <c r="X69" s="185">
        <v>1961</v>
      </c>
      <c r="Y69" s="185">
        <v>261315</v>
      </c>
      <c r="Z69" s="185"/>
      <c r="AA69" s="185"/>
      <c r="AB69" s="185">
        <v>49131</v>
      </c>
      <c r="AC69" s="185">
        <v>2280</v>
      </c>
      <c r="AD69" s="185"/>
      <c r="AE69" s="185">
        <v>110306</v>
      </c>
      <c r="AF69" s="185"/>
      <c r="AG69" s="185"/>
      <c r="AH69" s="185"/>
      <c r="AI69" s="185"/>
      <c r="AJ69" s="185">
        <v>1546357</v>
      </c>
      <c r="AK69" s="185">
        <v>39547</v>
      </c>
      <c r="AL69" s="185">
        <v>38</v>
      </c>
      <c r="AM69" s="185"/>
      <c r="AN69" s="185"/>
      <c r="AO69" s="299"/>
      <c r="AP69" s="185">
        <v>2336171</v>
      </c>
      <c r="AQ69" s="299"/>
      <c r="AR69" s="299"/>
      <c r="AS69" s="299"/>
      <c r="AT69" s="299"/>
      <c r="AU69" s="185"/>
      <c r="AV69" s="185">
        <v>0</v>
      </c>
      <c r="AW69" s="185"/>
      <c r="AX69" s="185"/>
      <c r="AY69" s="185"/>
      <c r="AZ69" s="185">
        <v>7813</v>
      </c>
      <c r="BA69" s="185">
        <v>92</v>
      </c>
      <c r="BB69" s="185"/>
      <c r="BC69" s="185"/>
      <c r="BD69" s="185"/>
      <c r="BE69" s="185">
        <v>25261</v>
      </c>
      <c r="BF69" s="185">
        <v>9019</v>
      </c>
      <c r="BG69" s="185">
        <v>1161</v>
      </c>
      <c r="BH69" s="224">
        <v>0</v>
      </c>
      <c r="BI69" s="185"/>
      <c r="BJ69" s="185"/>
      <c r="BK69" s="185">
        <v>5</v>
      </c>
      <c r="BL69" s="185"/>
      <c r="BM69" s="185"/>
      <c r="BN69" s="185">
        <v>5643433</v>
      </c>
      <c r="BO69" s="185">
        <v>466</v>
      </c>
      <c r="BP69" s="185"/>
      <c r="BQ69" s="185"/>
      <c r="BR69" s="185"/>
      <c r="BS69" s="185"/>
      <c r="BT69" s="185"/>
      <c r="BU69" s="185"/>
      <c r="BV69" s="185">
        <v>131</v>
      </c>
      <c r="BW69" s="185"/>
      <c r="BX69" s="185"/>
      <c r="BY69" s="185"/>
      <c r="BZ69" s="185"/>
      <c r="CA69" s="185"/>
      <c r="CB69" s="185">
        <v>2983</v>
      </c>
      <c r="CC69" s="185">
        <f>247018+29845</f>
        <v>276863</v>
      </c>
      <c r="CD69" s="307"/>
      <c r="CE69" s="294">
        <f t="shared" si="0"/>
        <v>10797851</v>
      </c>
      <c r="CF69" s="2"/>
    </row>
    <row r="70" spans="1:84" ht="12.65" customHeight="1" x14ac:dyDescent="0.35">
      <c r="A70" s="301" t="s">
        <v>242</v>
      </c>
      <c r="B70" s="294"/>
      <c r="C70" s="299"/>
      <c r="D70" s="299"/>
      <c r="E70" s="299"/>
      <c r="F70" s="185"/>
      <c r="G70" s="299"/>
      <c r="H70" s="299"/>
      <c r="I70" s="299"/>
      <c r="J70" s="185"/>
      <c r="K70" s="185"/>
      <c r="L70" s="185"/>
      <c r="M70" s="299"/>
      <c r="N70" s="299"/>
      <c r="O70" s="299"/>
      <c r="P70" s="299"/>
      <c r="Q70" s="299"/>
      <c r="R70" s="299"/>
      <c r="S70" s="299"/>
      <c r="T70" s="299"/>
      <c r="U70" s="185"/>
      <c r="V70" s="299"/>
      <c r="W70" s="299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7">
        <v>22987690</v>
      </c>
      <c r="CE70" s="294">
        <f t="shared" si="0"/>
        <v>22987690</v>
      </c>
      <c r="CF70" s="2"/>
    </row>
    <row r="71" spans="1:84" ht="12.65" customHeight="1" x14ac:dyDescent="0.35">
      <c r="A71" s="301" t="s">
        <v>243</v>
      </c>
      <c r="B71" s="294"/>
      <c r="C71" s="294">
        <f>SUM(C61:C68)+C69-C70</f>
        <v>0</v>
      </c>
      <c r="D71" s="294">
        <f t="shared" ref="D71:AI71" si="5">SUM(D61:D69)-D70</f>
        <v>0</v>
      </c>
      <c r="E71" s="294">
        <f t="shared" si="5"/>
        <v>1765574</v>
      </c>
      <c r="F71" s="294">
        <f t="shared" si="5"/>
        <v>0</v>
      </c>
      <c r="G71" s="294">
        <f t="shared" si="5"/>
        <v>2616447</v>
      </c>
      <c r="H71" s="294">
        <f t="shared" si="5"/>
        <v>0</v>
      </c>
      <c r="I71" s="294">
        <f t="shared" si="5"/>
        <v>0</v>
      </c>
      <c r="J71" s="294">
        <f t="shared" si="5"/>
        <v>0</v>
      </c>
      <c r="K71" s="294">
        <f t="shared" si="5"/>
        <v>0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0</v>
      </c>
      <c r="P71" s="294">
        <f t="shared" si="5"/>
        <v>10148154</v>
      </c>
      <c r="Q71" s="294">
        <f t="shared" si="5"/>
        <v>2263487</v>
      </c>
      <c r="R71" s="294">
        <f t="shared" si="5"/>
        <v>236649</v>
      </c>
      <c r="S71" s="294">
        <f t="shared" si="5"/>
        <v>7139536</v>
      </c>
      <c r="T71" s="294">
        <f t="shared" si="5"/>
        <v>1166.68</v>
      </c>
      <c r="U71" s="294">
        <f t="shared" si="5"/>
        <v>2588996</v>
      </c>
      <c r="V71" s="294">
        <f t="shared" si="5"/>
        <v>0</v>
      </c>
      <c r="W71" s="294">
        <f t="shared" si="5"/>
        <v>0</v>
      </c>
      <c r="X71" s="294">
        <f t="shared" si="5"/>
        <v>1360116</v>
      </c>
      <c r="Y71" s="294">
        <f t="shared" si="5"/>
        <v>11285946</v>
      </c>
      <c r="Z71" s="294">
        <f t="shared" si="5"/>
        <v>0</v>
      </c>
      <c r="AA71" s="294">
        <f t="shared" si="5"/>
        <v>12646</v>
      </c>
      <c r="AB71" s="294">
        <f t="shared" si="5"/>
        <v>3871421</v>
      </c>
      <c r="AC71" s="294">
        <f t="shared" si="5"/>
        <v>96672</v>
      </c>
      <c r="AD71" s="294">
        <f t="shared" si="5"/>
        <v>0</v>
      </c>
      <c r="AE71" s="294">
        <f t="shared" si="5"/>
        <v>2988571</v>
      </c>
      <c r="AF71" s="294">
        <f t="shared" si="5"/>
        <v>0</v>
      </c>
      <c r="AG71" s="294">
        <f t="shared" si="5"/>
        <v>0</v>
      </c>
      <c r="AH71" s="294">
        <f t="shared" si="5"/>
        <v>0</v>
      </c>
      <c r="AI71" s="294">
        <f t="shared" si="5"/>
        <v>0</v>
      </c>
      <c r="AJ71" s="294">
        <f t="shared" ref="AJ71:BO71" si="6">SUM(AJ61:AJ69)-AJ70</f>
        <v>33539386</v>
      </c>
      <c r="AK71" s="294">
        <f t="shared" si="6"/>
        <v>1781008</v>
      </c>
      <c r="AL71" s="294">
        <f t="shared" si="6"/>
        <v>125413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69086558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5276978</v>
      </c>
      <c r="AW71" s="294">
        <f t="shared" si="6"/>
        <v>-189</v>
      </c>
      <c r="AX71" s="294">
        <f t="shared" si="6"/>
        <v>0</v>
      </c>
      <c r="AY71" s="294">
        <f t="shared" si="6"/>
        <v>0</v>
      </c>
      <c r="AZ71" s="294">
        <f t="shared" si="6"/>
        <v>977439</v>
      </c>
      <c r="BA71" s="294">
        <f t="shared" si="6"/>
        <v>62308</v>
      </c>
      <c r="BB71" s="294">
        <f t="shared" si="6"/>
        <v>0</v>
      </c>
      <c r="BC71" s="294">
        <f t="shared" si="6"/>
        <v>0</v>
      </c>
      <c r="BD71" s="294">
        <f t="shared" si="6"/>
        <v>0</v>
      </c>
      <c r="BE71" s="294">
        <f t="shared" si="6"/>
        <v>2292944</v>
      </c>
      <c r="BF71" s="294">
        <f t="shared" si="6"/>
        <v>2399676</v>
      </c>
      <c r="BG71" s="294">
        <f t="shared" si="6"/>
        <v>958553</v>
      </c>
      <c r="BH71" s="294">
        <f t="shared" si="6"/>
        <v>274102</v>
      </c>
      <c r="BI71" s="294">
        <f t="shared" si="6"/>
        <v>0</v>
      </c>
      <c r="BJ71" s="294">
        <f t="shared" si="6"/>
        <v>0</v>
      </c>
      <c r="BK71" s="294">
        <f t="shared" si="6"/>
        <v>143170</v>
      </c>
      <c r="BL71" s="294">
        <f t="shared" si="6"/>
        <v>0</v>
      </c>
      <c r="BM71" s="294">
        <f t="shared" si="6"/>
        <v>0</v>
      </c>
      <c r="BN71" s="294">
        <f t="shared" si="6"/>
        <v>131137098</v>
      </c>
      <c r="BO71" s="294">
        <f t="shared" si="6"/>
        <v>110309</v>
      </c>
      <c r="BP71" s="294">
        <f t="shared" ref="BP71:CC71" si="7">SUM(BP61:BP69)-BP70</f>
        <v>0</v>
      </c>
      <c r="BQ71" s="294">
        <f t="shared" si="7"/>
        <v>0</v>
      </c>
      <c r="BR71" s="294">
        <f t="shared" si="7"/>
        <v>156</v>
      </c>
      <c r="BS71" s="294">
        <f t="shared" si="7"/>
        <v>0</v>
      </c>
      <c r="BT71" s="294">
        <f t="shared" si="7"/>
        <v>0</v>
      </c>
      <c r="BU71" s="294">
        <f t="shared" si="7"/>
        <v>0</v>
      </c>
      <c r="BV71" s="294">
        <f t="shared" si="7"/>
        <v>227516</v>
      </c>
      <c r="BW71" s="294">
        <f t="shared" si="7"/>
        <v>0</v>
      </c>
      <c r="BX71" s="294">
        <f t="shared" si="7"/>
        <v>0</v>
      </c>
      <c r="BY71" s="294">
        <f t="shared" si="7"/>
        <v>0</v>
      </c>
      <c r="BZ71" s="294">
        <f t="shared" si="7"/>
        <v>0</v>
      </c>
      <c r="CA71" s="294">
        <f t="shared" si="7"/>
        <v>0</v>
      </c>
      <c r="CB71" s="294">
        <f t="shared" si="7"/>
        <v>2983</v>
      </c>
      <c r="CC71" s="294">
        <f t="shared" si="7"/>
        <v>-361729</v>
      </c>
      <c r="CD71" s="300">
        <f>CD69-CD70</f>
        <v>-22987690</v>
      </c>
      <c r="CE71" s="294">
        <f>SUM(CE61:CE69)-CE70</f>
        <v>271421370.68000001</v>
      </c>
      <c r="CF71" s="2"/>
    </row>
    <row r="72" spans="1:84" ht="12.65" customHeight="1" x14ac:dyDescent="0.35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2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/>
      <c r="CF72" s="2"/>
    </row>
    <row r="73" spans="1:84" ht="12.65" customHeight="1" x14ac:dyDescent="0.35">
      <c r="A73" s="301" t="s">
        <v>245</v>
      </c>
      <c r="B73" s="294"/>
      <c r="C73" s="299"/>
      <c r="D73" s="299"/>
      <c r="E73" s="185">
        <v>2100951</v>
      </c>
      <c r="F73" s="185"/>
      <c r="G73" s="299">
        <v>4688713</v>
      </c>
      <c r="H73" s="299"/>
      <c r="I73" s="185"/>
      <c r="J73" s="185"/>
      <c r="K73" s="185"/>
      <c r="L73" s="185"/>
      <c r="M73" s="299"/>
      <c r="N73" s="299"/>
      <c r="O73" s="299"/>
      <c r="P73" s="185">
        <v>7778469</v>
      </c>
      <c r="Q73" s="185">
        <v>569299</v>
      </c>
      <c r="R73" s="185">
        <v>219672</v>
      </c>
      <c r="S73" s="185">
        <v>5189737</v>
      </c>
      <c r="T73" s="185"/>
      <c r="U73" s="185">
        <v>34053</v>
      </c>
      <c r="V73" s="185"/>
      <c r="W73" s="185"/>
      <c r="X73" s="185">
        <v>19735</v>
      </c>
      <c r="Y73" s="185">
        <v>67887</v>
      </c>
      <c r="Z73" s="185"/>
      <c r="AA73" s="185"/>
      <c r="AB73" s="185">
        <v>376358</v>
      </c>
      <c r="AC73" s="185">
        <v>533</v>
      </c>
      <c r="AD73" s="185"/>
      <c r="AE73" s="185">
        <v>0</v>
      </c>
      <c r="AF73" s="185"/>
      <c r="AG73" s="185"/>
      <c r="AH73" s="185"/>
      <c r="AI73" s="185"/>
      <c r="AJ73" s="185">
        <v>1793</v>
      </c>
      <c r="AK73" s="185">
        <v>1022688</v>
      </c>
      <c r="AL73" s="185">
        <v>548028</v>
      </c>
      <c r="AM73" s="185"/>
      <c r="AN73" s="185"/>
      <c r="AO73" s="185"/>
      <c r="AP73" s="185">
        <v>246</v>
      </c>
      <c r="AQ73" s="185"/>
      <c r="AR73" s="185"/>
      <c r="AS73" s="185"/>
      <c r="AT73" s="185"/>
      <c r="AU73" s="185"/>
      <c r="AV73" s="185">
        <v>248808</v>
      </c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22866970</v>
      </c>
      <c r="CF73" s="2"/>
    </row>
    <row r="74" spans="1:84" ht="12.65" customHeight="1" x14ac:dyDescent="0.35">
      <c r="A74" s="301" t="s">
        <v>246</v>
      </c>
      <c r="B74" s="294"/>
      <c r="C74" s="299"/>
      <c r="D74" s="299"/>
      <c r="E74" s="185">
        <v>1335164</v>
      </c>
      <c r="F74" s="185"/>
      <c r="G74" s="299">
        <v>80819</v>
      </c>
      <c r="H74" s="299"/>
      <c r="I74" s="299"/>
      <c r="J74" s="185"/>
      <c r="K74" s="185"/>
      <c r="L74" s="185"/>
      <c r="M74" s="299"/>
      <c r="N74" s="299"/>
      <c r="O74" s="299"/>
      <c r="P74" s="185">
        <v>69064681</v>
      </c>
      <c r="Q74" s="185">
        <v>5826629</v>
      </c>
      <c r="R74" s="185">
        <v>29066153</v>
      </c>
      <c r="S74" s="185">
        <v>9486195</v>
      </c>
      <c r="T74" s="185"/>
      <c r="U74" s="185">
        <v>1116624</v>
      </c>
      <c r="V74" s="185"/>
      <c r="W74" s="185"/>
      <c r="X74" s="185">
        <v>9143050</v>
      </c>
      <c r="Y74" s="185">
        <v>67819489</v>
      </c>
      <c r="Z74" s="185"/>
      <c r="AA74" s="185">
        <v>117740</v>
      </c>
      <c r="AB74" s="185">
        <v>8255300</v>
      </c>
      <c r="AC74" s="185">
        <v>370</v>
      </c>
      <c r="AD74" s="185"/>
      <c r="AE74" s="185">
        <v>5893315</v>
      </c>
      <c r="AF74" s="185"/>
      <c r="AG74" s="185"/>
      <c r="AH74" s="185"/>
      <c r="AI74" s="185"/>
      <c r="AJ74" s="185">
        <v>138055559</v>
      </c>
      <c r="AK74" s="185">
        <v>3058833</v>
      </c>
      <c r="AL74" s="185">
        <v>0</v>
      </c>
      <c r="AM74" s="185"/>
      <c r="AN74" s="185"/>
      <c r="AO74" s="185"/>
      <c r="AP74" s="185">
        <v>183056389</v>
      </c>
      <c r="AQ74" s="185"/>
      <c r="AR74" s="185"/>
      <c r="AS74" s="185"/>
      <c r="AT74" s="185"/>
      <c r="AU74" s="185"/>
      <c r="AV74" s="185">
        <f>4487+6445762-2850000</f>
        <v>3600249</v>
      </c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534976559</v>
      </c>
      <c r="CF74" s="2"/>
    </row>
    <row r="75" spans="1:84" ht="12.65" customHeight="1" x14ac:dyDescent="0.35">
      <c r="A75" s="301" t="s">
        <v>247</v>
      </c>
      <c r="B75" s="294"/>
      <c r="C75" s="294">
        <f t="shared" ref="C75:AV75" si="9">SUM(C73:C74)</f>
        <v>0</v>
      </c>
      <c r="D75" s="294">
        <f t="shared" si="9"/>
        <v>0</v>
      </c>
      <c r="E75" s="294">
        <f t="shared" si="9"/>
        <v>3436115</v>
      </c>
      <c r="F75" s="294">
        <f t="shared" si="9"/>
        <v>0</v>
      </c>
      <c r="G75" s="294">
        <f t="shared" si="9"/>
        <v>4769532</v>
      </c>
      <c r="H75" s="294">
        <f t="shared" si="9"/>
        <v>0</v>
      </c>
      <c r="I75" s="294">
        <f t="shared" si="9"/>
        <v>0</v>
      </c>
      <c r="J75" s="294">
        <f t="shared" si="9"/>
        <v>0</v>
      </c>
      <c r="K75" s="294">
        <f t="shared" si="9"/>
        <v>0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0</v>
      </c>
      <c r="P75" s="294">
        <f t="shared" si="9"/>
        <v>76843150</v>
      </c>
      <c r="Q75" s="294">
        <f t="shared" si="9"/>
        <v>6395928</v>
      </c>
      <c r="R75" s="294">
        <f t="shared" si="9"/>
        <v>29285825</v>
      </c>
      <c r="S75" s="294">
        <f t="shared" si="9"/>
        <v>14675932</v>
      </c>
      <c r="T75" s="294">
        <f t="shared" si="9"/>
        <v>0</v>
      </c>
      <c r="U75" s="294">
        <f t="shared" si="9"/>
        <v>1150677</v>
      </c>
      <c r="V75" s="294">
        <f t="shared" si="9"/>
        <v>0</v>
      </c>
      <c r="W75" s="294">
        <f t="shared" si="9"/>
        <v>0</v>
      </c>
      <c r="X75" s="294">
        <f t="shared" si="9"/>
        <v>9162785</v>
      </c>
      <c r="Y75" s="294">
        <f t="shared" si="9"/>
        <v>67887376</v>
      </c>
      <c r="Z75" s="294">
        <f t="shared" si="9"/>
        <v>0</v>
      </c>
      <c r="AA75" s="294">
        <f t="shared" si="9"/>
        <v>117740</v>
      </c>
      <c r="AB75" s="294">
        <f t="shared" si="9"/>
        <v>8631658</v>
      </c>
      <c r="AC75" s="294">
        <f t="shared" si="9"/>
        <v>903</v>
      </c>
      <c r="AD75" s="294">
        <f t="shared" si="9"/>
        <v>0</v>
      </c>
      <c r="AE75" s="294">
        <f t="shared" si="9"/>
        <v>5893315</v>
      </c>
      <c r="AF75" s="294">
        <f t="shared" si="9"/>
        <v>0</v>
      </c>
      <c r="AG75" s="294">
        <f t="shared" si="9"/>
        <v>0</v>
      </c>
      <c r="AH75" s="294">
        <f t="shared" si="9"/>
        <v>0</v>
      </c>
      <c r="AI75" s="294">
        <f t="shared" si="9"/>
        <v>0</v>
      </c>
      <c r="AJ75" s="294">
        <f t="shared" si="9"/>
        <v>138057352</v>
      </c>
      <c r="AK75" s="294">
        <f t="shared" si="9"/>
        <v>4081521</v>
      </c>
      <c r="AL75" s="294">
        <f t="shared" si="9"/>
        <v>548028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183056635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3849057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557843529</v>
      </c>
      <c r="CF75" s="2"/>
    </row>
    <row r="76" spans="1:84" ht="12.65" customHeight="1" x14ac:dyDescent="0.35">
      <c r="A76" s="301" t="s">
        <v>248</v>
      </c>
      <c r="B76" s="294"/>
      <c r="C76" s="299"/>
      <c r="D76" s="299"/>
      <c r="E76" s="185">
        <v>6867</v>
      </c>
      <c r="F76" s="185"/>
      <c r="G76" s="299">
        <v>4895</v>
      </c>
      <c r="H76" s="299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>
        <v>0</v>
      </c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>
        <v>0</v>
      </c>
      <c r="AB76" s="185">
        <v>2198</v>
      </c>
      <c r="AC76" s="185">
        <v>0</v>
      </c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>
        <v>0</v>
      </c>
      <c r="AL76" s="185">
        <v>0</v>
      </c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>
        <v>0</v>
      </c>
      <c r="AW76" s="185">
        <v>0</v>
      </c>
      <c r="AX76" s="185">
        <v>0</v>
      </c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304" t="s">
        <v>221</v>
      </c>
      <c r="CE76" s="294">
        <f t="shared" si="8"/>
        <v>375361</v>
      </c>
      <c r="CF76" s="294">
        <f>BE59-CE76</f>
        <v>0</v>
      </c>
    </row>
    <row r="77" spans="1:84" ht="12.65" customHeight="1" x14ac:dyDescent="0.35">
      <c r="A77" s="301" t="s">
        <v>249</v>
      </c>
      <c r="B77" s="294"/>
      <c r="C77" s="299"/>
      <c r="D77" s="299"/>
      <c r="E77" s="299">
        <v>1995</v>
      </c>
      <c r="F77" s="299"/>
      <c r="G77" s="299">
        <v>4920</v>
      </c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/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6915</v>
      </c>
      <c r="CF77" s="294">
        <f>AY59-CE77</f>
        <v>-6915</v>
      </c>
    </row>
    <row r="78" spans="1:84" ht="12.65" customHeight="1" x14ac:dyDescent="0.35">
      <c r="A78" s="301" t="s">
        <v>250</v>
      </c>
      <c r="B78" s="294"/>
      <c r="C78" s="299"/>
      <c r="D78" s="299"/>
      <c r="E78" s="185">
        <v>6867</v>
      </c>
      <c r="F78" s="185"/>
      <c r="G78" s="299">
        <v>4895</v>
      </c>
      <c r="H78" s="299"/>
      <c r="I78" s="185"/>
      <c r="J78" s="185"/>
      <c r="K78" s="185"/>
      <c r="L78" s="185"/>
      <c r="M78" s="185"/>
      <c r="N78" s="185"/>
      <c r="O78" s="185"/>
      <c r="P78" s="185">
        <v>27597</v>
      </c>
      <c r="Q78" s="185">
        <v>6898</v>
      </c>
      <c r="R78" s="185">
        <v>0</v>
      </c>
      <c r="S78" s="185">
        <v>11812</v>
      </c>
      <c r="T78" s="185"/>
      <c r="U78" s="185">
        <v>7833</v>
      </c>
      <c r="V78" s="185"/>
      <c r="W78" s="185"/>
      <c r="X78" s="185">
        <v>3268</v>
      </c>
      <c r="Y78" s="185">
        <v>25353</v>
      </c>
      <c r="Z78" s="185"/>
      <c r="AA78" s="185">
        <v>0</v>
      </c>
      <c r="AB78" s="185">
        <v>2198</v>
      </c>
      <c r="AC78" s="185">
        <v>0</v>
      </c>
      <c r="AD78" s="185"/>
      <c r="AE78" s="185">
        <v>4450</v>
      </c>
      <c r="AF78" s="185"/>
      <c r="AG78" s="185"/>
      <c r="AH78" s="185"/>
      <c r="AI78" s="185"/>
      <c r="AJ78" s="185">
        <v>86795</v>
      </c>
      <c r="AK78" s="185">
        <v>0</v>
      </c>
      <c r="AL78" s="185">
        <v>0</v>
      </c>
      <c r="AM78" s="185"/>
      <c r="AN78" s="185"/>
      <c r="AO78" s="185"/>
      <c r="AP78" s="185">
        <v>97226</v>
      </c>
      <c r="AQ78" s="185"/>
      <c r="AR78" s="185"/>
      <c r="AS78" s="185"/>
      <c r="AT78" s="185"/>
      <c r="AU78" s="185"/>
      <c r="AV78" s="185">
        <v>0</v>
      </c>
      <c r="AW78" s="185">
        <v>0</v>
      </c>
      <c r="AX78" s="185">
        <v>0</v>
      </c>
      <c r="AY78" s="185"/>
      <c r="AZ78" s="185">
        <v>1642</v>
      </c>
      <c r="BA78" s="185"/>
      <c r="BB78" s="185"/>
      <c r="BC78" s="185"/>
      <c r="BD78" s="185"/>
      <c r="BE78" s="185">
        <v>15663</v>
      </c>
      <c r="BF78" s="185">
        <v>1315</v>
      </c>
      <c r="BG78" s="185"/>
      <c r="BH78" s="185">
        <v>3673</v>
      </c>
      <c r="BI78" s="185"/>
      <c r="BJ78" s="185">
        <v>587</v>
      </c>
      <c r="BK78" s="185"/>
      <c r="BL78" s="185"/>
      <c r="BM78" s="185"/>
      <c r="BN78" s="185">
        <v>18469</v>
      </c>
      <c r="BO78" s="185"/>
      <c r="BP78" s="185"/>
      <c r="BQ78" s="185"/>
      <c r="BR78" s="185"/>
      <c r="BS78" s="185"/>
      <c r="BT78" s="185"/>
      <c r="BU78" s="185"/>
      <c r="BV78" s="185">
        <v>17502</v>
      </c>
      <c r="BW78" s="185"/>
      <c r="BX78" s="185"/>
      <c r="BY78" s="185"/>
      <c r="BZ78" s="185"/>
      <c r="CA78" s="185"/>
      <c r="CB78" s="185"/>
      <c r="CC78" s="185">
        <v>31318</v>
      </c>
      <c r="CD78" s="304" t="s">
        <v>221</v>
      </c>
      <c r="CE78" s="294">
        <f t="shared" si="8"/>
        <v>375361</v>
      </c>
      <c r="CF78" s="294"/>
    </row>
    <row r="79" spans="1:84" ht="12.65" customHeight="1" x14ac:dyDescent="0.35">
      <c r="A79" s="301" t="s">
        <v>251</v>
      </c>
      <c r="B79" s="294"/>
      <c r="C79" s="225"/>
      <c r="D79" s="225"/>
      <c r="E79" s="299">
        <v>68417</v>
      </c>
      <c r="F79" s="299"/>
      <c r="G79" s="299">
        <v>1968</v>
      </c>
      <c r="H79" s="299"/>
      <c r="I79" s="299"/>
      <c r="J79" s="299"/>
      <c r="K79" s="299"/>
      <c r="L79" s="299"/>
      <c r="M79" s="299"/>
      <c r="N79" s="299"/>
      <c r="O79" s="299"/>
      <c r="P79" s="299">
        <v>145504</v>
      </c>
      <c r="Q79" s="299"/>
      <c r="R79" s="299"/>
      <c r="S79" s="299"/>
      <c r="T79" s="299"/>
      <c r="U79" s="299">
        <v>981</v>
      </c>
      <c r="V79" s="299"/>
      <c r="W79" s="299"/>
      <c r="X79" s="299"/>
      <c r="Y79" s="299">
        <v>36089</v>
      </c>
      <c r="Z79" s="299"/>
      <c r="AA79" s="299"/>
      <c r="AB79" s="299"/>
      <c r="AC79" s="299"/>
      <c r="AD79" s="299"/>
      <c r="AE79" s="299">
        <v>8318</v>
      </c>
      <c r="AF79" s="299"/>
      <c r="AG79" s="299"/>
      <c r="AH79" s="299"/>
      <c r="AI79" s="299"/>
      <c r="AJ79" s="299">
        <v>11352</v>
      </c>
      <c r="AK79" s="299"/>
      <c r="AL79" s="299"/>
      <c r="AM79" s="299"/>
      <c r="AN79" s="299"/>
      <c r="AO79" s="299"/>
      <c r="AP79" s="299">
        <v>73291</v>
      </c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345920</v>
      </c>
      <c r="CF79" s="294">
        <f>BA59</f>
        <v>0</v>
      </c>
    </row>
    <row r="80" spans="1:84" ht="12.65" customHeight="1" x14ac:dyDescent="0.35">
      <c r="A80" s="301" t="s">
        <v>252</v>
      </c>
      <c r="B80" s="294"/>
      <c r="C80" s="187"/>
      <c r="D80" s="187"/>
      <c r="E80" s="187">
        <v>11.36</v>
      </c>
      <c r="F80" s="187"/>
      <c r="G80" s="187">
        <v>14.94</v>
      </c>
      <c r="H80" s="187"/>
      <c r="I80" s="187"/>
      <c r="J80" s="187"/>
      <c r="K80" s="187"/>
      <c r="L80" s="187"/>
      <c r="M80" s="187"/>
      <c r="N80" s="187"/>
      <c r="O80" s="187"/>
      <c r="P80" s="187">
        <v>32.44</v>
      </c>
      <c r="Q80" s="187">
        <v>15.54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1.78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0</v>
      </c>
      <c r="AH80" s="187">
        <v>0</v>
      </c>
      <c r="AI80" s="187">
        <v>0</v>
      </c>
      <c r="AJ80" s="187">
        <v>33.32</v>
      </c>
      <c r="AK80" s="187">
        <v>0.01</v>
      </c>
      <c r="AL80" s="187">
        <v>0</v>
      </c>
      <c r="AM80" s="187">
        <v>0</v>
      </c>
      <c r="AN80" s="187">
        <v>0</v>
      </c>
      <c r="AO80" s="187">
        <v>0</v>
      </c>
      <c r="AP80" s="187">
        <v>92.49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201.88</v>
      </c>
      <c r="CF80" s="309"/>
    </row>
    <row r="81" spans="1:84" ht="21" customHeight="1" x14ac:dyDescent="0.35">
      <c r="A81" s="310" t="s">
        <v>253</v>
      </c>
      <c r="B81" s="310"/>
      <c r="C81" s="310"/>
      <c r="D81" s="310"/>
      <c r="E81" s="3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1" t="s">
        <v>254</v>
      </c>
      <c r="B82" s="311"/>
      <c r="C82" s="312" t="s">
        <v>1269</v>
      </c>
      <c r="D82" s="313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4" t="s">
        <v>255</v>
      </c>
      <c r="B83" s="311" t="s">
        <v>256</v>
      </c>
      <c r="C83" s="314" t="s">
        <v>1268</v>
      </c>
      <c r="D83" s="313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4" t="s">
        <v>257</v>
      </c>
      <c r="B84" s="311" t="s">
        <v>256</v>
      </c>
      <c r="C84" s="229" t="s">
        <v>1270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4" t="s">
        <v>1250</v>
      </c>
      <c r="B85" s="311"/>
      <c r="C85" s="270" t="s">
        <v>1271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4" t="s">
        <v>1251</v>
      </c>
      <c r="B86" s="311" t="s">
        <v>256</v>
      </c>
      <c r="C86" s="229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4" t="s">
        <v>258</v>
      </c>
      <c r="B87" s="311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4" t="s">
        <v>259</v>
      </c>
      <c r="B88" s="311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4" t="s">
        <v>260</v>
      </c>
      <c r="B89" s="311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4" t="s">
        <v>261</v>
      </c>
      <c r="B90" s="311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4" t="s">
        <v>262</v>
      </c>
      <c r="B91" s="311" t="s">
        <v>256</v>
      </c>
      <c r="C91" s="226"/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4" t="s">
        <v>263</v>
      </c>
      <c r="B92" s="311" t="s">
        <v>256</v>
      </c>
      <c r="C92" s="226" t="s">
        <v>1276</v>
      </c>
      <c r="D92" s="313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4" t="s">
        <v>264</v>
      </c>
      <c r="B93" s="311" t="s">
        <v>256</v>
      </c>
      <c r="C93" s="269"/>
      <c r="D93" s="313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0" t="s">
        <v>265</v>
      </c>
      <c r="B95" s="310"/>
      <c r="C95" s="310"/>
      <c r="D95" s="310"/>
      <c r="E95" s="3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5" t="s">
        <v>266</v>
      </c>
      <c r="B96" s="315"/>
      <c r="C96" s="315"/>
      <c r="D96" s="315"/>
      <c r="E96" s="3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4" t="s">
        <v>267</v>
      </c>
      <c r="B97" s="311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4" t="s">
        <v>259</v>
      </c>
      <c r="B98" s="311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4" t="s">
        <v>268</v>
      </c>
      <c r="B99" s="311" t="s">
        <v>256</v>
      </c>
      <c r="C99" s="189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5" t="s">
        <v>269</v>
      </c>
      <c r="B100" s="315"/>
      <c r="C100" s="315"/>
      <c r="D100" s="315"/>
      <c r="E100" s="3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4" t="s">
        <v>270</v>
      </c>
      <c r="B101" s="311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4" t="s">
        <v>132</v>
      </c>
      <c r="B102" s="311" t="s">
        <v>256</v>
      </c>
      <c r="C102" s="222">
        <v>1</v>
      </c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5" t="s">
        <v>271</v>
      </c>
      <c r="B103" s="315"/>
      <c r="C103" s="315"/>
      <c r="D103" s="315"/>
      <c r="E103" s="3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4" t="s">
        <v>272</v>
      </c>
      <c r="B104" s="311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4" t="s">
        <v>273</v>
      </c>
      <c r="B105" s="311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4" t="s">
        <v>274</v>
      </c>
      <c r="B106" s="311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4"/>
      <c r="B107" s="311"/>
      <c r="C107" s="316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7" t="s">
        <v>275</v>
      </c>
      <c r="B108" s="310"/>
      <c r="C108" s="310"/>
      <c r="D108" s="310"/>
      <c r="E108" s="3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4"/>
      <c r="B109" s="311"/>
      <c r="C109" s="316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4" t="s">
        <v>278</v>
      </c>
      <c r="B111" s="311" t="s">
        <v>256</v>
      </c>
      <c r="C111" s="189">
        <v>516</v>
      </c>
      <c r="D111" s="174">
        <v>2305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4" t="s">
        <v>279</v>
      </c>
      <c r="B112" s="311" t="s">
        <v>256</v>
      </c>
      <c r="C112" s="189">
        <v>0</v>
      </c>
      <c r="D112" s="174">
        <v>0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4" t="s">
        <v>280</v>
      </c>
      <c r="B113" s="311" t="s">
        <v>256</v>
      </c>
      <c r="C113" s="189">
        <v>0</v>
      </c>
      <c r="D113" s="174">
        <v>0</v>
      </c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4" t="s">
        <v>281</v>
      </c>
      <c r="B114" s="311" t="s">
        <v>256</v>
      </c>
      <c r="C114" s="189">
        <v>0</v>
      </c>
      <c r="D114" s="174">
        <v>0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4" t="s">
        <v>283</v>
      </c>
      <c r="B116" s="311" t="s">
        <v>256</v>
      </c>
      <c r="C116" s="189">
        <v>0</v>
      </c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4" t="s">
        <v>284</v>
      </c>
      <c r="B117" s="311" t="s">
        <v>256</v>
      </c>
      <c r="C117" s="189">
        <v>0</v>
      </c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4" t="s">
        <v>1238</v>
      </c>
      <c r="B118" s="311" t="s">
        <v>256</v>
      </c>
      <c r="C118" s="189">
        <v>11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4" t="s">
        <v>285</v>
      </c>
      <c r="B119" s="311" t="s">
        <v>256</v>
      </c>
      <c r="C119" s="189">
        <v>0</v>
      </c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4" t="s">
        <v>286</v>
      </c>
      <c r="B120" s="311" t="s">
        <v>256</v>
      </c>
      <c r="C120" s="189">
        <v>0</v>
      </c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4" t="s">
        <v>287</v>
      </c>
      <c r="B121" s="311" t="s">
        <v>256</v>
      </c>
      <c r="C121" s="189">
        <v>9</v>
      </c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4" t="s">
        <v>97</v>
      </c>
      <c r="B122" s="311" t="s">
        <v>256</v>
      </c>
      <c r="C122" s="189">
        <v>0</v>
      </c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4" t="s">
        <v>288</v>
      </c>
      <c r="B123" s="311" t="s">
        <v>256</v>
      </c>
      <c r="C123" s="189">
        <v>0</v>
      </c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4" t="s">
        <v>289</v>
      </c>
      <c r="B124" s="311"/>
      <c r="C124" s="189">
        <v>0</v>
      </c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4" t="s">
        <v>280</v>
      </c>
      <c r="B125" s="311" t="s">
        <v>256</v>
      </c>
      <c r="C125" s="189">
        <v>0</v>
      </c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4" t="s">
        <v>290</v>
      </c>
      <c r="B126" s="311" t="s">
        <v>256</v>
      </c>
      <c r="C126" s="189">
        <v>0</v>
      </c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4" t="s">
        <v>291</v>
      </c>
      <c r="B127" s="294"/>
      <c r="C127" s="302"/>
      <c r="D127" s="294"/>
      <c r="E127" s="294">
        <f>SUM(C116:C126)</f>
        <v>20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4" t="s">
        <v>292</v>
      </c>
      <c r="B128" s="311" t="s">
        <v>256</v>
      </c>
      <c r="C128" s="189">
        <v>20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4" t="s">
        <v>293</v>
      </c>
      <c r="B129" s="311" t="s">
        <v>256</v>
      </c>
      <c r="C129" s="189">
        <v>0</v>
      </c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4" t="s">
        <v>294</v>
      </c>
      <c r="B131" s="311" t="s">
        <v>256</v>
      </c>
      <c r="C131" s="189">
        <v>0</v>
      </c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0" t="s">
        <v>1239</v>
      </c>
      <c r="B136" s="317"/>
      <c r="C136" s="317"/>
      <c r="D136" s="317"/>
      <c r="E136" s="31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8" t="s">
        <v>295</v>
      </c>
      <c r="B137" s="319" t="s">
        <v>296</v>
      </c>
      <c r="C137" s="320" t="s">
        <v>297</v>
      </c>
      <c r="D137" s="319" t="s">
        <v>132</v>
      </c>
      <c r="E137" s="319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4" t="s">
        <v>277</v>
      </c>
      <c r="B138" s="174">
        <v>305</v>
      </c>
      <c r="C138" s="189">
        <v>47</v>
      </c>
      <c r="D138" s="174">
        <v>164</v>
      </c>
      <c r="E138" s="294">
        <f>SUM(B138:D138)</f>
        <v>516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4" t="s">
        <v>215</v>
      </c>
      <c r="B139" s="174">
        <v>1466</v>
      </c>
      <c r="C139" s="189">
        <v>270</v>
      </c>
      <c r="D139" s="174">
        <v>569</v>
      </c>
      <c r="E139" s="294">
        <f>SUM(B139:D139)</f>
        <v>2305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4" t="s">
        <v>298</v>
      </c>
      <c r="B140" s="174"/>
      <c r="C140" s="174"/>
      <c r="D140" s="174"/>
      <c r="E140" s="294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4" t="s">
        <v>245</v>
      </c>
      <c r="B141" s="174">
        <f>10746499+3996249</f>
        <v>14742748</v>
      </c>
      <c r="C141" s="189">
        <f>829953+1231830</f>
        <v>2061783</v>
      </c>
      <c r="D141" s="174">
        <f>4723794+1338646</f>
        <v>6062440</v>
      </c>
      <c r="E141" s="294">
        <f>SUM(B141:D141)</f>
        <v>22866971</v>
      </c>
      <c r="F141" s="3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4" t="s">
        <v>246</v>
      </c>
      <c r="B142" s="174">
        <f>41019323+160207293+38187276</f>
        <v>239413892</v>
      </c>
      <c r="C142" s="189">
        <f>10782849+70790255+8334881</f>
        <v>89907985</v>
      </c>
      <c r="D142" s="174">
        <f>38661846+161588089+5404747</f>
        <v>205654682</v>
      </c>
      <c r="E142" s="294">
        <f>SUM(B142:D142)</f>
        <v>534976559</v>
      </c>
      <c r="F142" s="3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8" t="s">
        <v>299</v>
      </c>
      <c r="B143" s="319" t="s">
        <v>296</v>
      </c>
      <c r="C143" s="320" t="s">
        <v>297</v>
      </c>
      <c r="D143" s="319" t="s">
        <v>132</v>
      </c>
      <c r="E143" s="319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4" t="s">
        <v>277</v>
      </c>
      <c r="B144" s="174">
        <v>0</v>
      </c>
      <c r="C144" s="174">
        <v>0</v>
      </c>
      <c r="D144" s="174">
        <v>0</v>
      </c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4" t="s">
        <v>215</v>
      </c>
      <c r="B145" s="174">
        <v>0</v>
      </c>
      <c r="C145" s="174">
        <v>0</v>
      </c>
      <c r="D145" s="174">
        <v>0</v>
      </c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4" t="s">
        <v>298</v>
      </c>
      <c r="B146" s="174">
        <v>0</v>
      </c>
      <c r="C146" s="174">
        <v>0</v>
      </c>
      <c r="D146" s="174">
        <v>0</v>
      </c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4" t="s">
        <v>245</v>
      </c>
      <c r="B147" s="174">
        <v>0</v>
      </c>
      <c r="C147" s="174">
        <v>0</v>
      </c>
      <c r="D147" s="174">
        <v>0</v>
      </c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4" t="s">
        <v>246</v>
      </c>
      <c r="B148" s="174">
        <v>0</v>
      </c>
      <c r="C148" s="174">
        <v>0</v>
      </c>
      <c r="D148" s="174">
        <v>0</v>
      </c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8" t="s">
        <v>300</v>
      </c>
      <c r="B149" s="319" t="s">
        <v>296</v>
      </c>
      <c r="C149" s="320" t="s">
        <v>297</v>
      </c>
      <c r="D149" s="319" t="s">
        <v>132</v>
      </c>
      <c r="E149" s="319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4" t="s">
        <v>277</v>
      </c>
      <c r="B150" s="174">
        <v>0</v>
      </c>
      <c r="C150" s="174">
        <v>0</v>
      </c>
      <c r="D150" s="174">
        <v>0</v>
      </c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4" t="s">
        <v>215</v>
      </c>
      <c r="B151" s="174">
        <v>0</v>
      </c>
      <c r="C151" s="174">
        <v>0</v>
      </c>
      <c r="D151" s="174">
        <v>0</v>
      </c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4" t="s">
        <v>298</v>
      </c>
      <c r="B152" s="174">
        <v>0</v>
      </c>
      <c r="C152" s="174">
        <v>0</v>
      </c>
      <c r="D152" s="174">
        <v>0</v>
      </c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4" t="s">
        <v>245</v>
      </c>
      <c r="B153" s="174">
        <v>0</v>
      </c>
      <c r="C153" s="174">
        <v>0</v>
      </c>
      <c r="D153" s="174">
        <v>0</v>
      </c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4" t="s">
        <v>246</v>
      </c>
      <c r="B154" s="174">
        <v>0</v>
      </c>
      <c r="C154" s="174">
        <v>0</v>
      </c>
      <c r="D154" s="174">
        <v>0</v>
      </c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0"/>
      <c r="B155" s="300"/>
      <c r="C155" s="322"/>
      <c r="D155" s="323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8" t="s">
        <v>301</v>
      </c>
      <c r="B156" s="319" t="s">
        <v>302</v>
      </c>
      <c r="C156" s="320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0" t="s">
        <v>304</v>
      </c>
      <c r="B157" s="174">
        <v>0</v>
      </c>
      <c r="C157" s="174">
        <v>0</v>
      </c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0"/>
      <c r="B158" s="323"/>
      <c r="C158" s="322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0"/>
      <c r="B159" s="300"/>
      <c r="C159" s="322"/>
      <c r="D159" s="323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0"/>
      <c r="B160" s="300"/>
      <c r="C160" s="322"/>
      <c r="D160" s="323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0"/>
      <c r="B161" s="300"/>
      <c r="C161" s="322"/>
      <c r="D161" s="323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0"/>
      <c r="B162" s="300"/>
      <c r="C162" s="322"/>
      <c r="D162" s="323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7" t="s">
        <v>305</v>
      </c>
      <c r="B163" s="310"/>
      <c r="C163" s="310"/>
      <c r="D163" s="310"/>
      <c r="E163" s="3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5" t="s">
        <v>306</v>
      </c>
      <c r="B164" s="315"/>
      <c r="C164" s="315"/>
      <c r="D164" s="315"/>
      <c r="E164" s="3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4" t="s">
        <v>307</v>
      </c>
      <c r="B165" s="311" t="s">
        <v>256</v>
      </c>
      <c r="C165" s="189">
        <v>5326751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4" t="s">
        <v>308</v>
      </c>
      <c r="B166" s="311" t="s">
        <v>256</v>
      </c>
      <c r="C166" s="189">
        <v>73093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0" t="s">
        <v>309</v>
      </c>
      <c r="B167" s="311" t="s">
        <v>256</v>
      </c>
      <c r="C167" s="189">
        <v>771076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4" t="s">
        <v>310</v>
      </c>
      <c r="B168" s="311" t="s">
        <v>256</v>
      </c>
      <c r="C168" s="189">
        <v>12897738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4" t="s">
        <v>311</v>
      </c>
      <c r="B169" s="311" t="s">
        <v>256</v>
      </c>
      <c r="C169" s="189">
        <v>190481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4" t="s">
        <v>312</v>
      </c>
      <c r="B170" s="311" t="s">
        <v>256</v>
      </c>
      <c r="C170" s="189">
        <v>3320632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4" t="s">
        <v>313</v>
      </c>
      <c r="B171" s="311" t="s">
        <v>256</v>
      </c>
      <c r="C171" s="189">
        <v>612122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4" t="s">
        <v>313</v>
      </c>
      <c r="B172" s="311" t="s">
        <v>256</v>
      </c>
      <c r="C172" s="189"/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4" t="s">
        <v>203</v>
      </c>
      <c r="B173" s="294"/>
      <c r="C173" s="302"/>
      <c r="D173" s="294">
        <f>SUM(C165:C172)</f>
        <v>23191893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5" t="s">
        <v>314</v>
      </c>
      <c r="B174" s="315"/>
      <c r="C174" s="315"/>
      <c r="D174" s="315"/>
      <c r="E174" s="3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4" t="s">
        <v>315</v>
      </c>
      <c r="B175" s="311" t="s">
        <v>256</v>
      </c>
      <c r="C175" s="189">
        <v>8581815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4" t="s">
        <v>316</v>
      </c>
      <c r="B176" s="311" t="s">
        <v>256</v>
      </c>
      <c r="C176" s="189">
        <v>32898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4" t="s">
        <v>203</v>
      </c>
      <c r="B177" s="294"/>
      <c r="C177" s="302"/>
      <c r="D177" s="294">
        <f>SUM(C175:C176)</f>
        <v>8614713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5" t="s">
        <v>317</v>
      </c>
      <c r="B178" s="315"/>
      <c r="C178" s="315"/>
      <c r="D178" s="315"/>
      <c r="E178" s="3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4" t="s">
        <v>318</v>
      </c>
      <c r="B179" s="311" t="s">
        <v>256</v>
      </c>
      <c r="C179" s="189">
        <v>3454573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4" t="s">
        <v>319</v>
      </c>
      <c r="B180" s="311" t="s">
        <v>256</v>
      </c>
      <c r="C180" s="189">
        <v>320025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4" t="s">
        <v>203</v>
      </c>
      <c r="B181" s="294"/>
      <c r="C181" s="302"/>
      <c r="D181" s="294">
        <f>SUM(C179:C180)</f>
        <v>3774598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5" t="s">
        <v>320</v>
      </c>
      <c r="B182" s="315"/>
      <c r="C182" s="315"/>
      <c r="D182" s="315"/>
      <c r="E182" s="3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4" t="s">
        <v>321</v>
      </c>
      <c r="B183" s="311" t="s">
        <v>256</v>
      </c>
      <c r="C183" s="189">
        <v>109239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4" t="s">
        <v>322</v>
      </c>
      <c r="B184" s="311" t="s">
        <v>256</v>
      </c>
      <c r="C184" s="189">
        <v>2845043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4" t="s">
        <v>132</v>
      </c>
      <c r="B185" s="311" t="s">
        <v>256</v>
      </c>
      <c r="C185" s="189"/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4" t="s">
        <v>203</v>
      </c>
      <c r="B186" s="294"/>
      <c r="C186" s="302"/>
      <c r="D186" s="294">
        <f>SUM(C183:C185)</f>
        <v>2954282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5" t="s">
        <v>323</v>
      </c>
      <c r="B187" s="315"/>
      <c r="C187" s="315"/>
      <c r="D187" s="315"/>
      <c r="E187" s="3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4" t="s">
        <v>324</v>
      </c>
      <c r="B188" s="311" t="s">
        <v>256</v>
      </c>
      <c r="C188" s="189">
        <v>1318872</v>
      </c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4" t="s">
        <v>325</v>
      </c>
      <c r="B189" s="311" t="s">
        <v>256</v>
      </c>
      <c r="C189" s="189"/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4" t="s">
        <v>203</v>
      </c>
      <c r="B190" s="294"/>
      <c r="C190" s="302"/>
      <c r="D190" s="294">
        <f>SUM(C188:C189)</f>
        <v>1318872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0" t="s">
        <v>326</v>
      </c>
      <c r="B192" s="310"/>
      <c r="C192" s="310"/>
      <c r="D192" s="310"/>
      <c r="E192" s="3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7" t="s">
        <v>327</v>
      </c>
      <c r="B193" s="310"/>
      <c r="C193" s="310"/>
      <c r="D193" s="310"/>
      <c r="E193" s="3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4" t="s">
        <v>332</v>
      </c>
      <c r="B195" s="174">
        <v>123086</v>
      </c>
      <c r="C195" s="189"/>
      <c r="D195" s="174"/>
      <c r="E195" s="294">
        <f t="shared" ref="E195:E203" si="10">SUM(B195:C195)-D195</f>
        <v>123086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4" t="s">
        <v>333</v>
      </c>
      <c r="B196" s="174">
        <v>326019</v>
      </c>
      <c r="C196" s="189"/>
      <c r="D196" s="174">
        <v>196650</v>
      </c>
      <c r="E196" s="294">
        <f t="shared" si="10"/>
        <v>129369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4" t="s">
        <v>334</v>
      </c>
      <c r="B197" s="174">
        <v>347681</v>
      </c>
      <c r="C197" s="189"/>
      <c r="D197" s="174">
        <v>60301</v>
      </c>
      <c r="E197" s="294">
        <f t="shared" si="10"/>
        <v>287380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4" t="s">
        <v>335</v>
      </c>
      <c r="B198" s="174">
        <v>3161788</v>
      </c>
      <c r="C198" s="189">
        <v>1634500</v>
      </c>
      <c r="D198" s="174">
        <v>1578852</v>
      </c>
      <c r="E198" s="294">
        <f t="shared" si="10"/>
        <v>3217436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4" t="s">
        <v>336</v>
      </c>
      <c r="B199" s="174">
        <v>4007180</v>
      </c>
      <c r="C199" s="189">
        <v>599792</v>
      </c>
      <c r="D199" s="174">
        <v>170516</v>
      </c>
      <c r="E199" s="294">
        <f t="shared" si="10"/>
        <v>4436456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4" t="s">
        <v>337</v>
      </c>
      <c r="B200" s="174">
        <v>18630948</v>
      </c>
      <c r="C200" s="189">
        <v>871023</v>
      </c>
      <c r="D200" s="174">
        <v>2221681</v>
      </c>
      <c r="E200" s="294">
        <f t="shared" si="10"/>
        <v>17280290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4" t="s">
        <v>338</v>
      </c>
      <c r="B201" s="174">
        <v>0</v>
      </c>
      <c r="C201" s="189"/>
      <c r="D201" s="174"/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4" t="s">
        <v>339</v>
      </c>
      <c r="B202" s="174">
        <v>0</v>
      </c>
      <c r="C202" s="189"/>
      <c r="D202" s="174"/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4" t="s">
        <v>340</v>
      </c>
      <c r="B203" s="174">
        <v>1909265</v>
      </c>
      <c r="C203" s="189">
        <v>4654278</v>
      </c>
      <c r="D203" s="174"/>
      <c r="E203" s="294">
        <f t="shared" si="10"/>
        <v>6563543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4" t="s">
        <v>203</v>
      </c>
      <c r="B204" s="294">
        <f>SUM(B195:B203)</f>
        <v>28505967</v>
      </c>
      <c r="C204" s="302">
        <f>SUM(C195:C203)</f>
        <v>7759593</v>
      </c>
      <c r="D204" s="294">
        <f>SUM(D195:D203)</f>
        <v>4228000</v>
      </c>
      <c r="E204" s="294">
        <f>SUM(E195:E203)</f>
        <v>32037560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7" t="s">
        <v>341</v>
      </c>
      <c r="B206" s="317"/>
      <c r="C206" s="317"/>
      <c r="D206" s="317"/>
      <c r="E206" s="31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4" t="s">
        <v>332</v>
      </c>
      <c r="B208" s="323"/>
      <c r="C208" s="322"/>
      <c r="D208" s="323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4" t="s">
        <v>333</v>
      </c>
      <c r="B209" s="174">
        <v>205211</v>
      </c>
      <c r="C209" s="189">
        <v>12008</v>
      </c>
      <c r="D209" s="174">
        <v>196650</v>
      </c>
      <c r="E209" s="294">
        <f t="shared" ref="E209:E216" si="11">SUM(B209:C209)-D209</f>
        <v>20569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4" t="s">
        <v>334</v>
      </c>
      <c r="B210" s="174">
        <v>128181</v>
      </c>
      <c r="C210" s="189">
        <v>6000</v>
      </c>
      <c r="D210" s="174">
        <v>60300</v>
      </c>
      <c r="E210" s="294">
        <f t="shared" si="11"/>
        <v>73881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4" t="s">
        <v>335</v>
      </c>
      <c r="B211" s="174">
        <v>363822</v>
      </c>
      <c r="C211" s="189">
        <v>310539</v>
      </c>
      <c r="D211" s="174">
        <v>38198</v>
      </c>
      <c r="E211" s="294">
        <f t="shared" si="11"/>
        <v>636163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4" t="s">
        <v>336</v>
      </c>
      <c r="B212" s="174">
        <v>1525082</v>
      </c>
      <c r="C212" s="189">
        <v>486944</v>
      </c>
      <c r="D212" s="174">
        <v>170517</v>
      </c>
      <c r="E212" s="294">
        <f t="shared" si="11"/>
        <v>1841509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4" t="s">
        <v>337</v>
      </c>
      <c r="B213" s="174">
        <v>8885532</v>
      </c>
      <c r="C213" s="189">
        <v>1926071</v>
      </c>
      <c r="D213" s="174">
        <v>408181</v>
      </c>
      <c r="E213" s="294">
        <f t="shared" si="11"/>
        <v>10403422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4" t="s">
        <v>338</v>
      </c>
      <c r="B214" s="174"/>
      <c r="C214" s="189"/>
      <c r="D214" s="174"/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4" t="s">
        <v>339</v>
      </c>
      <c r="B215" s="174"/>
      <c r="C215" s="189"/>
      <c r="D215" s="174"/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4" t="s">
        <v>340</v>
      </c>
      <c r="B216" s="174"/>
      <c r="C216" s="189"/>
      <c r="D216" s="174"/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4" t="s">
        <v>203</v>
      </c>
      <c r="B217" s="294">
        <f>SUM(B208:B216)</f>
        <v>11107828</v>
      </c>
      <c r="C217" s="302">
        <f>SUM(C208:C216)</f>
        <v>2741562</v>
      </c>
      <c r="D217" s="294">
        <f>SUM(D208:D216)</f>
        <v>873846</v>
      </c>
      <c r="E217" s="294">
        <f>SUM(E208:E216)</f>
        <v>12975544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0" t="s">
        <v>342</v>
      </c>
      <c r="B219" s="310"/>
      <c r="C219" s="310"/>
      <c r="D219" s="310"/>
      <c r="E219" s="3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0"/>
      <c r="B220" s="340" t="s">
        <v>1254</v>
      </c>
      <c r="C220" s="340"/>
      <c r="D220" s="310"/>
      <c r="E220" s="3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4" t="s">
        <v>1254</v>
      </c>
      <c r="B221" s="310"/>
      <c r="C221" s="189">
        <v>4510582</v>
      </c>
      <c r="D221" s="311">
        <f>C221</f>
        <v>4510582</v>
      </c>
      <c r="E221" s="3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5" t="s">
        <v>343</v>
      </c>
      <c r="B222" s="315"/>
      <c r="C222" s="315"/>
      <c r="D222" s="315"/>
      <c r="E222" s="3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4" t="s">
        <v>344</v>
      </c>
      <c r="B223" s="311" t="s">
        <v>256</v>
      </c>
      <c r="C223" s="189">
        <f>6819730+27918933+2163635+97671658+21710999</f>
        <v>156284955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4" t="s">
        <v>345</v>
      </c>
      <c r="B224" s="311" t="s">
        <v>256</v>
      </c>
      <c r="C224" s="189">
        <f>983695+9878232+537831+51388235+4956287</f>
        <v>67744280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4" t="s">
        <v>346</v>
      </c>
      <c r="B225" s="311" t="s">
        <v>256</v>
      </c>
      <c r="C225" s="189">
        <f>155383+1747504+4048507+35979</f>
        <v>5987373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4" t="s">
        <v>347</v>
      </c>
      <c r="B226" s="311" t="s">
        <v>256</v>
      </c>
      <c r="C226" s="189">
        <v>289828</v>
      </c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4" t="s">
        <v>348</v>
      </c>
      <c r="B227" s="311" t="s">
        <v>256</v>
      </c>
      <c r="C227" s="189"/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4" t="s">
        <v>349</v>
      </c>
      <c r="B228" s="311" t="s">
        <v>256</v>
      </c>
      <c r="C228" s="189">
        <v>45646254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4" t="s">
        <v>350</v>
      </c>
      <c r="B229" s="294"/>
      <c r="C229" s="302"/>
      <c r="D229" s="294">
        <f>SUM(C223:C228)</f>
        <v>275952690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5" t="s">
        <v>351</v>
      </c>
      <c r="B230" s="315"/>
      <c r="C230" s="315"/>
      <c r="D230" s="315"/>
      <c r="E230" s="3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1" t="s">
        <v>352</v>
      </c>
      <c r="B231" s="311" t="s">
        <v>256</v>
      </c>
      <c r="C231" s="189"/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1"/>
      <c r="B232" s="311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1" t="s">
        <v>353</v>
      </c>
      <c r="B233" s="311" t="s">
        <v>256</v>
      </c>
      <c r="C233" s="189">
        <v>1246420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1" t="s">
        <v>354</v>
      </c>
      <c r="B234" s="311" t="s">
        <v>256</v>
      </c>
      <c r="C234" s="189">
        <v>3683218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1" t="s">
        <v>355</v>
      </c>
      <c r="B236" s="294"/>
      <c r="C236" s="302"/>
      <c r="D236" s="294">
        <f>SUM(C233:C235)</f>
        <v>4929638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5" t="s">
        <v>356</v>
      </c>
      <c r="B237" s="315"/>
      <c r="C237" s="315"/>
      <c r="D237" s="315"/>
      <c r="E237" s="3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4" t="s">
        <v>357</v>
      </c>
      <c r="B238" s="311" t="s">
        <v>256</v>
      </c>
      <c r="C238" s="189"/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4" t="s">
        <v>356</v>
      </c>
      <c r="B239" s="311" t="s">
        <v>256</v>
      </c>
      <c r="C239" s="189">
        <v>6476200</v>
      </c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4" t="s">
        <v>358</v>
      </c>
      <c r="B240" s="294"/>
      <c r="C240" s="302"/>
      <c r="D240" s="294">
        <f>SUM(C238:C239)</f>
        <v>6476200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4" t="s">
        <v>359</v>
      </c>
      <c r="B242" s="294"/>
      <c r="C242" s="302"/>
      <c r="D242" s="294">
        <f>D221+D229+D236+D240</f>
        <v>291869110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0" t="s">
        <v>360</v>
      </c>
      <c r="B248" s="310"/>
      <c r="C248" s="310"/>
      <c r="D248" s="310"/>
      <c r="E248" s="3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5" t="s">
        <v>361</v>
      </c>
      <c r="B249" s="315"/>
      <c r="C249" s="315"/>
      <c r="D249" s="315"/>
      <c r="E249" s="3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4" t="s">
        <v>362</v>
      </c>
      <c r="B250" s="311" t="s">
        <v>256</v>
      </c>
      <c r="C250" s="189">
        <v>4799149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4" t="s">
        <v>363</v>
      </c>
      <c r="B251" s="311" t="s">
        <v>256</v>
      </c>
      <c r="C251" s="189">
        <v>0</v>
      </c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4" t="s">
        <v>364</v>
      </c>
      <c r="B252" s="311" t="s">
        <v>256</v>
      </c>
      <c r="C252" s="189">
        <v>33778140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4" t="s">
        <v>365</v>
      </c>
      <c r="B253" s="311" t="s">
        <v>256</v>
      </c>
      <c r="C253" s="189"/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4" t="s">
        <v>1240</v>
      </c>
      <c r="B254" s="311" t="s">
        <v>256</v>
      </c>
      <c r="C254" s="189"/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4" t="s">
        <v>366</v>
      </c>
      <c r="B255" s="311" t="s">
        <v>256</v>
      </c>
      <c r="C255" s="189">
        <v>11004894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4" t="s">
        <v>367</v>
      </c>
      <c r="B256" s="311" t="s">
        <v>256</v>
      </c>
      <c r="C256" s="18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4" t="s">
        <v>368</v>
      </c>
      <c r="B257" s="311" t="s">
        <v>256</v>
      </c>
      <c r="C257" s="189">
        <v>724577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4" t="s">
        <v>369</v>
      </c>
      <c r="B258" s="311" t="s">
        <v>256</v>
      </c>
      <c r="C258" s="189">
        <v>1552959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4" t="s">
        <v>370</v>
      </c>
      <c r="B259" s="311" t="s">
        <v>256</v>
      </c>
      <c r="C259" s="189">
        <v>0</v>
      </c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4" t="s">
        <v>371</v>
      </c>
      <c r="B260" s="294"/>
      <c r="C260" s="302"/>
      <c r="D260" s="294">
        <f>SUM(C250:C252)-C253+SUM(C254:C259)</f>
        <v>51859719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5" t="s">
        <v>372</v>
      </c>
      <c r="B261" s="315"/>
      <c r="C261" s="315"/>
      <c r="D261" s="315"/>
      <c r="E261" s="3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4" t="s">
        <v>362</v>
      </c>
      <c r="B262" s="311" t="s">
        <v>256</v>
      </c>
      <c r="C262" s="189">
        <v>0</v>
      </c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4" t="s">
        <v>363</v>
      </c>
      <c r="B263" s="311" t="s">
        <v>256</v>
      </c>
      <c r="C263" s="189">
        <v>0</v>
      </c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4" t="s">
        <v>373</v>
      </c>
      <c r="B264" s="311" t="s">
        <v>256</v>
      </c>
      <c r="C264" s="189">
        <v>0</v>
      </c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4" t="s">
        <v>374</v>
      </c>
      <c r="B265" s="294"/>
      <c r="C265" s="302"/>
      <c r="D265" s="294">
        <f>SUM(C262:C264)</f>
        <v>0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5" t="s">
        <v>375</v>
      </c>
      <c r="B266" s="315"/>
      <c r="C266" s="315"/>
      <c r="D266" s="315"/>
      <c r="E266" s="3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4" t="s">
        <v>332</v>
      </c>
      <c r="B267" s="311" t="s">
        <v>256</v>
      </c>
      <c r="C267" s="189">
        <v>123086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4" t="s">
        <v>333</v>
      </c>
      <c r="B268" s="311" t="s">
        <v>256</v>
      </c>
      <c r="C268" s="189">
        <v>129369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4" t="s">
        <v>334</v>
      </c>
      <c r="B269" s="311" t="s">
        <v>256</v>
      </c>
      <c r="C269" s="189">
        <v>287380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4" t="s">
        <v>376</v>
      </c>
      <c r="B270" s="311" t="s">
        <v>256</v>
      </c>
      <c r="C270" s="189">
        <v>3217436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4" t="s">
        <v>377</v>
      </c>
      <c r="B271" s="311" t="s">
        <v>256</v>
      </c>
      <c r="C271" s="189">
        <v>4436456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4" t="s">
        <v>378</v>
      </c>
      <c r="B272" s="311" t="s">
        <v>256</v>
      </c>
      <c r="C272" s="189">
        <v>17280290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4" t="s">
        <v>339</v>
      </c>
      <c r="B273" s="311" t="s">
        <v>256</v>
      </c>
      <c r="C273" s="189"/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4" t="s">
        <v>340</v>
      </c>
      <c r="B274" s="311" t="s">
        <v>256</v>
      </c>
      <c r="C274" s="189">
        <v>6563543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4" t="s">
        <v>379</v>
      </c>
      <c r="B275" s="294"/>
      <c r="C275" s="302"/>
      <c r="D275" s="294">
        <f>SUM(C267:C274)</f>
        <v>32037560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4" t="s">
        <v>380</v>
      </c>
      <c r="B276" s="311" t="s">
        <v>256</v>
      </c>
      <c r="C276" s="189">
        <v>12975544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4" t="s">
        <v>381</v>
      </c>
      <c r="B277" s="294"/>
      <c r="C277" s="302"/>
      <c r="D277" s="294">
        <f>D275-C276</f>
        <v>19062016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5" t="s">
        <v>382</v>
      </c>
      <c r="B278" s="315"/>
      <c r="C278" s="315"/>
      <c r="D278" s="315"/>
      <c r="E278" s="3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4" t="s">
        <v>383</v>
      </c>
      <c r="B279" s="311" t="s">
        <v>256</v>
      </c>
      <c r="C279" s="189">
        <v>0</v>
      </c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4" t="s">
        <v>384</v>
      </c>
      <c r="B280" s="311" t="s">
        <v>256</v>
      </c>
      <c r="C280" s="189">
        <v>0</v>
      </c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4" t="s">
        <v>385</v>
      </c>
      <c r="B281" s="311" t="s">
        <v>256</v>
      </c>
      <c r="C281" s="189">
        <v>0</v>
      </c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4" t="s">
        <v>373</v>
      </c>
      <c r="B282" s="311" t="s">
        <v>256</v>
      </c>
      <c r="C282" s="189">
        <v>4027599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4" t="s">
        <v>386</v>
      </c>
      <c r="B283" s="294"/>
      <c r="C283" s="302"/>
      <c r="D283" s="294">
        <f>C279-C280+C281+C282</f>
        <v>4027599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5" t="s">
        <v>387</v>
      </c>
      <c r="B285" s="315"/>
      <c r="C285" s="315"/>
      <c r="D285" s="315"/>
      <c r="E285" s="3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4" t="s">
        <v>388</v>
      </c>
      <c r="B286" s="311" t="s">
        <v>256</v>
      </c>
      <c r="C286" s="189">
        <v>0</v>
      </c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4" t="s">
        <v>389</v>
      </c>
      <c r="B287" s="311" t="s">
        <v>256</v>
      </c>
      <c r="C287" s="189">
        <v>0</v>
      </c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4" t="s">
        <v>390</v>
      </c>
      <c r="B288" s="311" t="s">
        <v>256</v>
      </c>
      <c r="C288" s="189">
        <v>0</v>
      </c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4" t="s">
        <v>391</v>
      </c>
      <c r="B289" s="311" t="s">
        <v>256</v>
      </c>
      <c r="C289" s="189">
        <v>0</v>
      </c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4" t="s">
        <v>392</v>
      </c>
      <c r="B290" s="294"/>
      <c r="C290" s="302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4" t="s">
        <v>393</v>
      </c>
      <c r="B292" s="294"/>
      <c r="C292" s="302"/>
      <c r="D292" s="294">
        <f>D260+D265+D277+D283+D290</f>
        <v>74949334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0" t="s">
        <v>394</v>
      </c>
      <c r="B302" s="310"/>
      <c r="C302" s="310"/>
      <c r="D302" s="310"/>
      <c r="E302" s="3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5" t="s">
        <v>395</v>
      </c>
      <c r="B303" s="315"/>
      <c r="C303" s="315"/>
      <c r="D303" s="315"/>
      <c r="E303" s="3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4" t="s">
        <v>396</v>
      </c>
      <c r="B304" s="311" t="s">
        <v>256</v>
      </c>
      <c r="C304" s="189">
        <v>18871682</v>
      </c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4" t="s">
        <v>397</v>
      </c>
      <c r="B305" s="311" t="s">
        <v>256</v>
      </c>
      <c r="C305" s="189">
        <v>34602817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4" t="s">
        <v>398</v>
      </c>
      <c r="B306" s="311" t="s">
        <v>256</v>
      </c>
      <c r="C306" s="189">
        <v>7596060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4" t="s">
        <v>399</v>
      </c>
      <c r="B307" s="311" t="s">
        <v>256</v>
      </c>
      <c r="C307" s="189">
        <v>987220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4" t="s">
        <v>400</v>
      </c>
      <c r="B308" s="311" t="s">
        <v>256</v>
      </c>
      <c r="C308" s="189">
        <v>0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4" t="s">
        <v>1241</v>
      </c>
      <c r="B309" s="311" t="s">
        <v>256</v>
      </c>
      <c r="C309" s="189">
        <v>0</v>
      </c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4" t="s">
        <v>401</v>
      </c>
      <c r="B310" s="311" t="s">
        <v>256</v>
      </c>
      <c r="C310" s="189">
        <v>0</v>
      </c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4" t="s">
        <v>402</v>
      </c>
      <c r="B311" s="311" t="s">
        <v>256</v>
      </c>
      <c r="C311" s="189">
        <v>0</v>
      </c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4" t="s">
        <v>403</v>
      </c>
      <c r="B312" s="311" t="s">
        <v>256</v>
      </c>
      <c r="C312" s="189">
        <v>3644244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4" t="s">
        <v>404</v>
      </c>
      <c r="B313" s="311" t="s">
        <v>256</v>
      </c>
      <c r="C313" s="189">
        <v>0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4" t="s">
        <v>405</v>
      </c>
      <c r="B314" s="294"/>
      <c r="C314" s="302"/>
      <c r="D314" s="294">
        <f>SUM(C304:C313)</f>
        <v>65702023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5" t="s">
        <v>406</v>
      </c>
      <c r="B315" s="315"/>
      <c r="C315" s="315"/>
      <c r="D315" s="315"/>
      <c r="E315" s="3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4" t="s">
        <v>407</v>
      </c>
      <c r="B316" s="311" t="s">
        <v>256</v>
      </c>
      <c r="C316" s="189">
        <v>0</v>
      </c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4" t="s">
        <v>408</v>
      </c>
      <c r="B317" s="311" t="s">
        <v>256</v>
      </c>
      <c r="C317" s="189">
        <v>0</v>
      </c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4" t="s">
        <v>409</v>
      </c>
      <c r="B318" s="311" t="s">
        <v>256</v>
      </c>
      <c r="C318" s="189">
        <v>0</v>
      </c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4" t="s">
        <v>410</v>
      </c>
      <c r="B319" s="294"/>
      <c r="C319" s="302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5" t="s">
        <v>411</v>
      </c>
      <c r="B320" s="315"/>
      <c r="C320" s="315"/>
      <c r="D320" s="315"/>
      <c r="E320" s="3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4" t="s">
        <v>412</v>
      </c>
      <c r="B321" s="311" t="s">
        <v>256</v>
      </c>
      <c r="C321" s="189">
        <v>0</v>
      </c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4" t="s">
        <v>413</v>
      </c>
      <c r="B322" s="311" t="s">
        <v>256</v>
      </c>
      <c r="C322" s="189">
        <v>0</v>
      </c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4" t="s">
        <v>414</v>
      </c>
      <c r="B323" s="311" t="s">
        <v>256</v>
      </c>
      <c r="C323" s="189">
        <v>0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1" t="s">
        <v>415</v>
      </c>
      <c r="B324" s="311" t="s">
        <v>256</v>
      </c>
      <c r="C324" s="189">
        <v>0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4" t="s">
        <v>416</v>
      </c>
      <c r="B325" s="311" t="s">
        <v>256</v>
      </c>
      <c r="C325" s="189">
        <v>0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1" t="s">
        <v>417</v>
      </c>
      <c r="B326" s="311" t="s">
        <v>256</v>
      </c>
      <c r="C326" s="189">
        <v>0</v>
      </c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4" t="s">
        <v>418</v>
      </c>
      <c r="B327" s="311" t="s">
        <v>256</v>
      </c>
      <c r="C327" s="189">
        <v>0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4" t="s">
        <v>203</v>
      </c>
      <c r="B328" s="294"/>
      <c r="C328" s="302"/>
      <c r="D328" s="294">
        <f>SUM(C321:C327)</f>
        <v>0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4" t="s">
        <v>419</v>
      </c>
      <c r="B329" s="294"/>
      <c r="C329" s="302"/>
      <c r="D329" s="294">
        <f>C313</f>
        <v>0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4" t="s">
        <v>420</v>
      </c>
      <c r="B330" s="294"/>
      <c r="C330" s="302"/>
      <c r="D330" s="294">
        <f>D328-D329</f>
        <v>0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4" t="s">
        <v>421</v>
      </c>
      <c r="B332" s="311" t="s">
        <v>256</v>
      </c>
      <c r="C332" s="222">
        <v>9247311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4"/>
      <c r="B333" s="311"/>
      <c r="C333" s="230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4" t="s">
        <v>1142</v>
      </c>
      <c r="B334" s="311" t="s">
        <v>256</v>
      </c>
      <c r="C334" s="222">
        <v>0</v>
      </c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4" t="s">
        <v>1143</v>
      </c>
      <c r="B335" s="311" t="s">
        <v>256</v>
      </c>
      <c r="C335" s="222">
        <v>0</v>
      </c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4" t="s">
        <v>423</v>
      </c>
      <c r="B336" s="311" t="s">
        <v>256</v>
      </c>
      <c r="C336" s="222">
        <v>0</v>
      </c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4" t="s">
        <v>422</v>
      </c>
      <c r="B337" s="311" t="s">
        <v>256</v>
      </c>
      <c r="C337" s="189">
        <v>0</v>
      </c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4" t="s">
        <v>1252</v>
      </c>
      <c r="B338" s="311" t="s">
        <v>256</v>
      </c>
      <c r="C338" s="189">
        <v>0</v>
      </c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4" t="s">
        <v>424</v>
      </c>
      <c r="B339" s="294"/>
      <c r="C339" s="302"/>
      <c r="D339" s="294">
        <f>D314+D319+D330+C332+C336+C337</f>
        <v>74949334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4" t="s">
        <v>425</v>
      </c>
      <c r="B341" s="294"/>
      <c r="C341" s="302"/>
      <c r="D341" s="294">
        <f>D292</f>
        <v>74949334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0" t="s">
        <v>426</v>
      </c>
      <c r="B357" s="310"/>
      <c r="C357" s="310"/>
      <c r="D357" s="310"/>
      <c r="E357" s="3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5" t="s">
        <v>427</v>
      </c>
      <c r="B358" s="315"/>
      <c r="C358" s="315"/>
      <c r="D358" s="315"/>
      <c r="E358" s="3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4" t="s">
        <v>428</v>
      </c>
      <c r="B359" s="311" t="s">
        <v>256</v>
      </c>
      <c r="C359" s="189">
        <v>22866970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4" t="s">
        <v>429</v>
      </c>
      <c r="B360" s="311" t="s">
        <v>256</v>
      </c>
      <c r="C360" s="189">
        <v>534976559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4" t="s">
        <v>430</v>
      </c>
      <c r="B361" s="294"/>
      <c r="C361" s="302"/>
      <c r="D361" s="294">
        <f>SUM(C359:C360)</f>
        <v>557843529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5" t="s">
        <v>431</v>
      </c>
      <c r="B362" s="315"/>
      <c r="C362" s="315"/>
      <c r="D362" s="315"/>
      <c r="E362" s="3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4" t="s">
        <v>1254</v>
      </c>
      <c r="B363" s="315"/>
      <c r="C363" s="189">
        <v>4510582</v>
      </c>
      <c r="D363" s="294"/>
      <c r="E363" s="3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4" t="s">
        <v>432</v>
      </c>
      <c r="B364" s="311" t="s">
        <v>256</v>
      </c>
      <c r="C364" s="189">
        <v>275952910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4" t="s">
        <v>433</v>
      </c>
      <c r="B365" s="311" t="s">
        <v>256</v>
      </c>
      <c r="C365" s="189">
        <v>4929638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4" t="s">
        <v>434</v>
      </c>
      <c r="B366" s="311" t="s">
        <v>256</v>
      </c>
      <c r="C366" s="189">
        <v>6476200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4" t="s">
        <v>359</v>
      </c>
      <c r="B367" s="294"/>
      <c r="C367" s="302"/>
      <c r="D367" s="294">
        <f>SUM(C363:C366)</f>
        <v>291869330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4" t="s">
        <v>435</v>
      </c>
      <c r="B368" s="294"/>
      <c r="C368" s="302"/>
      <c r="D368" s="294">
        <f>D361-D367</f>
        <v>265974199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5" t="s">
        <v>436</v>
      </c>
      <c r="B369" s="315"/>
      <c r="C369" s="315"/>
      <c r="D369" s="315"/>
      <c r="E369" s="3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4" t="s">
        <v>437</v>
      </c>
      <c r="B370" s="311" t="s">
        <v>256</v>
      </c>
      <c r="C370" s="189">
        <v>22987690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4" t="s">
        <v>438</v>
      </c>
      <c r="B371" s="311" t="s">
        <v>256</v>
      </c>
      <c r="C371" s="189">
        <v>0</v>
      </c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4" t="s">
        <v>439</v>
      </c>
      <c r="B372" s="294"/>
      <c r="C372" s="302"/>
      <c r="D372" s="294">
        <f>SUM(C370:C371)</f>
        <v>22987690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4" t="s">
        <v>440</v>
      </c>
      <c r="B373" s="294"/>
      <c r="C373" s="302"/>
      <c r="D373" s="294">
        <f>D368+D372</f>
        <v>288961889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5" t="s">
        <v>441</v>
      </c>
      <c r="B377" s="315"/>
      <c r="C377" s="315"/>
      <c r="D377" s="315"/>
      <c r="E377" s="3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4" t="s">
        <v>442</v>
      </c>
      <c r="B378" s="311" t="s">
        <v>256</v>
      </c>
      <c r="C378" s="189">
        <v>74796766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4" t="s">
        <v>3</v>
      </c>
      <c r="B379" s="311" t="s">
        <v>256</v>
      </c>
      <c r="C379" s="189">
        <v>23191895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4" t="s">
        <v>236</v>
      </c>
      <c r="B380" s="311" t="s">
        <v>256</v>
      </c>
      <c r="C380" s="189">
        <v>123923475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4" t="s">
        <v>443</v>
      </c>
      <c r="B381" s="311" t="s">
        <v>256</v>
      </c>
      <c r="C381" s="189">
        <v>33373332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4" t="s">
        <v>444</v>
      </c>
      <c r="B382" s="311" t="s">
        <v>256</v>
      </c>
      <c r="C382" s="189">
        <v>1234989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4" t="s">
        <v>445</v>
      </c>
      <c r="B383" s="311" t="s">
        <v>256</v>
      </c>
      <c r="C383" s="189">
        <v>15801022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4" t="s">
        <v>6</v>
      </c>
      <c r="B384" s="311" t="s">
        <v>256</v>
      </c>
      <c r="C384" s="189">
        <v>2674255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4" t="s">
        <v>446</v>
      </c>
      <c r="B385" s="311" t="s">
        <v>256</v>
      </c>
      <c r="C385" s="189">
        <v>8614713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4" t="s">
        <v>447</v>
      </c>
      <c r="B386" s="311" t="s">
        <v>256</v>
      </c>
      <c r="C386" s="189">
        <v>3774598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4" t="s">
        <v>448</v>
      </c>
      <c r="B387" s="311" t="s">
        <v>256</v>
      </c>
      <c r="C387" s="189">
        <v>2471064.34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4" t="s">
        <v>449</v>
      </c>
      <c r="B388" s="311" t="s">
        <v>256</v>
      </c>
      <c r="C388" s="189">
        <v>1318872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4" t="s">
        <v>451</v>
      </c>
      <c r="B389" s="311" t="s">
        <v>256</v>
      </c>
      <c r="C389" s="189">
        <v>3234265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4" t="s">
        <v>452</v>
      </c>
      <c r="B390" s="294"/>
      <c r="C390" s="302"/>
      <c r="D390" s="294">
        <f>SUM(C378:C389)</f>
        <v>294409246.33999997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4" t="s">
        <v>453</v>
      </c>
      <c r="B391" s="294"/>
      <c r="C391" s="302"/>
      <c r="D391" s="294">
        <f>D373-D390</f>
        <v>-5447357.3399999738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4" t="s">
        <v>454</v>
      </c>
      <c r="B392" s="311" t="s">
        <v>256</v>
      </c>
      <c r="C392" s="189">
        <v>318977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4" t="s">
        <v>455</v>
      </c>
      <c r="B393" s="294"/>
      <c r="C393" s="302"/>
      <c r="D393" s="294">
        <f>D391+C392</f>
        <v>-5128380.3399999738</v>
      </c>
      <c r="E393" s="294"/>
      <c r="F393" s="3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4" t="s">
        <v>456</v>
      </c>
      <c r="B394" s="311" t="s">
        <v>256</v>
      </c>
      <c r="C394" s="189">
        <v>0</v>
      </c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4" t="s">
        <v>457</v>
      </c>
      <c r="B395" s="311" t="s">
        <v>256</v>
      </c>
      <c r="C395" s="189">
        <v>0</v>
      </c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4" t="s">
        <v>458</v>
      </c>
      <c r="B396" s="294"/>
      <c r="C396" s="302"/>
      <c r="D396" s="294">
        <f>D393+C394-C395</f>
        <v>-5128380.3399999738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6" t="s">
        <v>459</v>
      </c>
      <c r="D411" s="2"/>
      <c r="E411" s="32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Confluence Health: Wenatchee Valley Hospital   H-0     FYE 12/31/2019</v>
      </c>
      <c r="B412" s="2"/>
      <c r="C412" s="2"/>
      <c r="D412" s="2"/>
      <c r="E412" s="32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6" t="s">
        <v>461</v>
      </c>
      <c r="C413" s="326" t="s">
        <v>1242</v>
      </c>
      <c r="D413" s="326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516</v>
      </c>
      <c r="C414" s="2">
        <f>E138</f>
        <v>516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2305</v>
      </c>
      <c r="C415" s="2">
        <f>E139</f>
        <v>2305</v>
      </c>
      <c r="D415" s="2">
        <f>SUM(C59:H59)+N59</f>
        <v>2305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8"/>
      <c r="B422" s="328"/>
      <c r="C422" s="32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8"/>
      <c r="B425" s="328"/>
      <c r="C425" s="328"/>
      <c r="D425" s="328"/>
      <c r="E425" s="2"/>
      <c r="F425" s="328"/>
      <c r="G425" s="32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6" t="s">
        <v>471</v>
      </c>
      <c r="C426" s="326" t="s">
        <v>462</v>
      </c>
      <c r="D426" s="326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74796766</v>
      </c>
      <c r="C427" s="2">
        <f t="shared" ref="C427:C434" si="13">CE61</f>
        <v>74796533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23191895</v>
      </c>
      <c r="C428" s="2">
        <f t="shared" si="13"/>
        <v>23192796</v>
      </c>
      <c r="D428" s="2">
        <f>D173</f>
        <v>23191893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123923475</v>
      </c>
      <c r="C429" s="2">
        <f t="shared" si="13"/>
        <v>123923472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33373332</v>
      </c>
      <c r="C430" s="2">
        <f t="shared" si="13"/>
        <v>33373328.68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1234989</v>
      </c>
      <c r="C431" s="2">
        <f t="shared" si="13"/>
        <v>1234989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15801022</v>
      </c>
      <c r="C432" s="2">
        <f t="shared" si="13"/>
        <v>15801022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2674255</v>
      </c>
      <c r="C433" s="2">
        <f t="shared" si="13"/>
        <v>2674254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8614713</v>
      </c>
      <c r="C434" s="2">
        <f t="shared" si="13"/>
        <v>8614815</v>
      </c>
      <c r="D434" s="2">
        <f>D177</f>
        <v>8614713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3774598</v>
      </c>
      <c r="C435" s="2"/>
      <c r="D435" s="2">
        <f>D181</f>
        <v>3774598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2471064.34</v>
      </c>
      <c r="C436" s="2"/>
      <c r="D436" s="2">
        <f>D186</f>
        <v>2954282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1318872</v>
      </c>
      <c r="C437" s="2"/>
      <c r="D437" s="2">
        <f>D190</f>
        <v>1318872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7564534.3399999999</v>
      </c>
      <c r="C438" s="2">
        <f>CD69</f>
        <v>0</v>
      </c>
      <c r="D438" s="2">
        <f>D181+D186+D190</f>
        <v>8047752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3234265</v>
      </c>
      <c r="C439" s="2">
        <f>SUM(C69:CC69)</f>
        <v>10797851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10798799.34</v>
      </c>
      <c r="C440" s="2">
        <f>CE69</f>
        <v>10797851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294409246.33999997</v>
      </c>
      <c r="C441" s="2">
        <f>SUM(C427:C437)+C440</f>
        <v>294409060.68000001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8"/>
      <c r="B442" s="328"/>
      <c r="C442" s="328"/>
      <c r="D442" s="328"/>
      <c r="E442" s="2"/>
      <c r="F442" s="328"/>
      <c r="G442" s="32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6" t="s">
        <v>480</v>
      </c>
      <c r="C443" s="326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4510582</v>
      </c>
      <c r="C444" s="2">
        <f>C363</f>
        <v>4510582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275952690</v>
      </c>
      <c r="C445" s="2">
        <f>C364</f>
        <v>275952910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4929638</v>
      </c>
      <c r="C446" s="2">
        <f>C365</f>
        <v>4929638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6476200</v>
      </c>
      <c r="C447" s="2">
        <f>C366</f>
        <v>6476200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291869110</v>
      </c>
      <c r="C448" s="2">
        <f>D367</f>
        <v>291869330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8"/>
      <c r="B449" s="328"/>
      <c r="C449" s="328"/>
      <c r="D449" s="328"/>
      <c r="E449" s="2"/>
      <c r="F449" s="328"/>
      <c r="G449" s="32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6" t="s">
        <v>482</v>
      </c>
      <c r="C450" s="328"/>
      <c r="D450" s="328"/>
      <c r="E450" s="2"/>
      <c r="F450" s="328"/>
      <c r="G450" s="32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6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6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1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1246420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3683218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8"/>
      <c r="B456" s="328"/>
      <c r="C456" s="328"/>
      <c r="D456" s="328"/>
      <c r="E456" s="2"/>
      <c r="F456" s="328"/>
      <c r="G456" s="32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6" t="s">
        <v>471</v>
      </c>
      <c r="C457" s="326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22987690</v>
      </c>
      <c r="C458" s="2">
        <f>CE70</f>
        <v>22987690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8"/>
      <c r="B460" s="328"/>
      <c r="C460" s="328"/>
      <c r="D460" s="328"/>
      <c r="E460" s="2"/>
      <c r="F460" s="328"/>
      <c r="G460" s="32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6"/>
      <c r="C461" s="326"/>
      <c r="D461" s="326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6" t="s">
        <v>471</v>
      </c>
      <c r="C462" s="326" t="s">
        <v>486</v>
      </c>
      <c r="D462" s="326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22866970</v>
      </c>
      <c r="C463" s="2">
        <f>CE73</f>
        <v>22866970</v>
      </c>
      <c r="D463" s="2">
        <f>E141+E147+E153</f>
        <v>22866971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534976559</v>
      </c>
      <c r="C464" s="2">
        <f>CE74</f>
        <v>534976559</v>
      </c>
      <c r="D464" s="2">
        <f>E142+E148+E154</f>
        <v>534976559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557843529</v>
      </c>
      <c r="C465" s="2">
        <f>CE75</f>
        <v>557843529</v>
      </c>
      <c r="D465" s="2">
        <f>D463+D464</f>
        <v>557843530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8"/>
      <c r="B466" s="328"/>
      <c r="C466" s="328"/>
      <c r="D466" s="328"/>
      <c r="E466" s="2"/>
      <c r="F466" s="328"/>
      <c r="G466" s="32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6" t="s">
        <v>492</v>
      </c>
      <c r="C467" s="326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123086</v>
      </c>
      <c r="C468" s="2">
        <f>E195</f>
        <v>123086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129369</v>
      </c>
      <c r="C469" s="2">
        <f>E196</f>
        <v>129369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287380</v>
      </c>
      <c r="C470" s="2">
        <f>E197</f>
        <v>287380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3217436</v>
      </c>
      <c r="C471" s="2">
        <f>E198</f>
        <v>3217436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4436456</v>
      </c>
      <c r="C472" s="2">
        <f>E199</f>
        <v>4436456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17280290</v>
      </c>
      <c r="C473" s="2">
        <f>SUM(E200:E201)</f>
        <v>17280290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6563543</v>
      </c>
      <c r="C475" s="2">
        <f>E203</f>
        <v>6563543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32037560</v>
      </c>
      <c r="C476" s="2">
        <f>E204</f>
        <v>32037560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12975544</v>
      </c>
      <c r="C478" s="2">
        <f>E217</f>
        <v>12975544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74949334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74949334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1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1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1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9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1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205</v>
      </c>
      <c r="B493" s="330" t="str">
        <f>RIGHT('[1]Prior Year'!C83,4)</f>
        <v>205</v>
      </c>
      <c r="C493" s="330" t="str">
        <f>RIGHT(C82,4)</f>
        <v>2019</v>
      </c>
      <c r="D493" s="330" t="str">
        <f>RIGHT('[1]Prior Year'!C82,4)</f>
        <v>2018</v>
      </c>
      <c r="E493" s="330" t="str">
        <f>RIGHT(C82,4)</f>
        <v>2019</v>
      </c>
      <c r="F493" s="330" t="str">
        <f>RIGHT('[1]Prior Year'!C82,4)</f>
        <v>2018</v>
      </c>
      <c r="G493" s="330" t="str">
        <f>RIGHT(C82,4)</f>
        <v>2019</v>
      </c>
      <c r="H493" s="330"/>
      <c r="I493" s="2"/>
      <c r="J493" s="2"/>
      <c r="K493" s="330"/>
      <c r="L493" s="33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9"/>
      <c r="B494" s="326" t="s">
        <v>505</v>
      </c>
      <c r="C494" s="326" t="s">
        <v>505</v>
      </c>
      <c r="D494" s="331" t="s">
        <v>506</v>
      </c>
      <c r="E494" s="331" t="s">
        <v>506</v>
      </c>
      <c r="F494" s="330" t="s">
        <v>507</v>
      </c>
      <c r="G494" s="330" t="s">
        <v>507</v>
      </c>
      <c r="H494" s="330" t="s">
        <v>508</v>
      </c>
      <c r="I494" s="2"/>
      <c r="J494" s="2"/>
      <c r="K494" s="330"/>
      <c r="L494" s="33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6" t="s">
        <v>303</v>
      </c>
      <c r="C495" s="326" t="s">
        <v>303</v>
      </c>
      <c r="D495" s="326" t="s">
        <v>509</v>
      </c>
      <c r="E495" s="326" t="s">
        <v>509</v>
      </c>
      <c r="F495" s="330" t="s">
        <v>510</v>
      </c>
      <c r="G495" s="330" t="s">
        <v>510</v>
      </c>
      <c r="H495" s="330" t="s">
        <v>511</v>
      </c>
      <c r="I495" s="2"/>
      <c r="J495" s="2"/>
      <c r="K495" s="330"/>
      <c r="L495" s="33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2">
        <f>'[1]Prior Year'!C59</f>
        <v>0</v>
      </c>
      <c r="C496" s="332">
        <f>C71</f>
        <v>0</v>
      </c>
      <c r="D496" s="332">
        <f>'[1]Prior Year'!C59</f>
        <v>0</v>
      </c>
      <c r="E496" s="2">
        <f>C59</f>
        <v>0</v>
      </c>
      <c r="F496" s="333" t="str">
        <f t="shared" ref="F496:G511" si="15">IF(B496=0,"",IF(D496=0,"",B496/D496))</f>
        <v/>
      </c>
      <c r="G496" s="333" t="str">
        <f t="shared" si="15"/>
        <v/>
      </c>
      <c r="H496" s="334" t="str">
        <f>IF(B496=0,"",IF(C496=0,"",IF(D496=0,"",IF(E496=0,"",IF(G496/F496-1&lt;-0.25,G496/F496-1,IF(G496/F496-1&gt;0.25,G496/F496-1,""))))))</f>
        <v/>
      </c>
      <c r="I496" s="266"/>
      <c r="J496" s="2"/>
      <c r="K496" s="330"/>
      <c r="L496" s="33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2">
        <f>'[1]Prior Year'!D71</f>
        <v>0</v>
      </c>
      <c r="C497" s="332">
        <f>D71</f>
        <v>0</v>
      </c>
      <c r="D497" s="332">
        <f>'[1]Prior Year'!D59</f>
        <v>0</v>
      </c>
      <c r="E497" s="2">
        <f>D59</f>
        <v>0</v>
      </c>
      <c r="F497" s="333" t="str">
        <f t="shared" si="15"/>
        <v/>
      </c>
      <c r="G497" s="333" t="str">
        <f t="shared" si="15"/>
        <v/>
      </c>
      <c r="H497" s="334" t="str">
        <f t="shared" ref="H497:H550" si="16">IF(B497=0,"",IF(C497=0,"",IF(D497=0,"",IF(E497=0,"",IF(G497/F497-1&lt;-0.25,G497/F497-1,IF(G497/F497-1&gt;0.25,G497/F497-1,""))))))</f>
        <v/>
      </c>
      <c r="I497" s="266"/>
      <c r="J497" s="2"/>
      <c r="K497" s="330"/>
      <c r="L497" s="33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2">
        <f>'[1]Prior Year'!E71</f>
        <v>2018638</v>
      </c>
      <c r="C498" s="332">
        <f>E71</f>
        <v>1765574</v>
      </c>
      <c r="D498" s="332">
        <f>'[1]Prior Year'!E59</f>
        <v>936</v>
      </c>
      <c r="E498" s="2">
        <f>E59</f>
        <v>665</v>
      </c>
      <c r="F498" s="333">
        <f t="shared" si="15"/>
        <v>2156.6645299145298</v>
      </c>
      <c r="G498" s="333">
        <f t="shared" si="15"/>
        <v>2654.9984962406015</v>
      </c>
      <c r="H498" s="334" t="str">
        <f t="shared" si="16"/>
        <v/>
      </c>
      <c r="I498" s="266"/>
      <c r="J498" s="2"/>
      <c r="K498" s="330"/>
      <c r="L498" s="33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2">
        <f>'[1]Prior Year'!F71</f>
        <v>0</v>
      </c>
      <c r="C499" s="332">
        <f>F71</f>
        <v>0</v>
      </c>
      <c r="D499" s="332">
        <f>'[1]Prior Year'!F59</f>
        <v>0</v>
      </c>
      <c r="E499" s="2">
        <f>F59</f>
        <v>0</v>
      </c>
      <c r="F499" s="333" t="str">
        <f t="shared" si="15"/>
        <v/>
      </c>
      <c r="G499" s="333" t="str">
        <f t="shared" si="15"/>
        <v/>
      </c>
      <c r="H499" s="334" t="str">
        <f t="shared" si="16"/>
        <v/>
      </c>
      <c r="I499" s="266"/>
      <c r="J499" s="2"/>
      <c r="K499" s="330"/>
      <c r="L499" s="33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2">
        <f>'[1]Prior Year'!G71</f>
        <v>2624521</v>
      </c>
      <c r="C500" s="332">
        <f>G71</f>
        <v>2616447</v>
      </c>
      <c r="D500" s="332">
        <f>'[1]Prior Year'!G59</f>
        <v>2006</v>
      </c>
      <c r="E500" s="2">
        <f>G59</f>
        <v>1640</v>
      </c>
      <c r="F500" s="333">
        <f t="shared" si="15"/>
        <v>1308.3354935194416</v>
      </c>
      <c r="G500" s="333">
        <f t="shared" si="15"/>
        <v>1595.3945121951219</v>
      </c>
      <c r="H500" s="334" t="str">
        <f t="shared" si="16"/>
        <v/>
      </c>
      <c r="I500" s="266"/>
      <c r="J500" s="2"/>
      <c r="K500" s="330"/>
      <c r="L500" s="33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2">
        <f>'[1]Prior Year'!H71</f>
        <v>0</v>
      </c>
      <c r="C501" s="332">
        <f>H71</f>
        <v>0</v>
      </c>
      <c r="D501" s="332">
        <f>'[1]Prior Year'!H59</f>
        <v>0</v>
      </c>
      <c r="E501" s="2">
        <f>H59</f>
        <v>0</v>
      </c>
      <c r="F501" s="333" t="str">
        <f t="shared" si="15"/>
        <v/>
      </c>
      <c r="G501" s="333" t="str">
        <f t="shared" si="15"/>
        <v/>
      </c>
      <c r="H501" s="334" t="str">
        <f t="shared" si="16"/>
        <v/>
      </c>
      <c r="I501" s="266"/>
      <c r="J501" s="2"/>
      <c r="K501" s="330"/>
      <c r="L501" s="33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2">
        <f>'[1]Prior Year'!I71</f>
        <v>0</v>
      </c>
      <c r="C502" s="332">
        <f>I71</f>
        <v>0</v>
      </c>
      <c r="D502" s="332">
        <f>'[1]Prior Year'!I59</f>
        <v>0</v>
      </c>
      <c r="E502" s="2">
        <f>I59</f>
        <v>0</v>
      </c>
      <c r="F502" s="333" t="str">
        <f t="shared" si="15"/>
        <v/>
      </c>
      <c r="G502" s="333" t="str">
        <f t="shared" si="15"/>
        <v/>
      </c>
      <c r="H502" s="334" t="str">
        <f t="shared" si="16"/>
        <v/>
      </c>
      <c r="I502" s="266"/>
      <c r="J502" s="2"/>
      <c r="K502" s="330"/>
      <c r="L502" s="33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2">
        <f>'[1]Prior Year'!J71</f>
        <v>0</v>
      </c>
      <c r="C503" s="332">
        <f>J71</f>
        <v>0</v>
      </c>
      <c r="D503" s="332">
        <f>'[1]Prior Year'!J59</f>
        <v>0</v>
      </c>
      <c r="E503" s="2">
        <f>J59</f>
        <v>0</v>
      </c>
      <c r="F503" s="333" t="str">
        <f t="shared" si="15"/>
        <v/>
      </c>
      <c r="G503" s="333" t="str">
        <f t="shared" si="15"/>
        <v/>
      </c>
      <c r="H503" s="334" t="str">
        <f t="shared" si="16"/>
        <v/>
      </c>
      <c r="I503" s="266"/>
      <c r="J503" s="2"/>
      <c r="K503" s="330"/>
      <c r="L503" s="33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2">
        <f>'[1]Prior Year'!K71</f>
        <v>0</v>
      </c>
      <c r="C504" s="332">
        <f>K71</f>
        <v>0</v>
      </c>
      <c r="D504" s="332">
        <f>'[1]Prior Year'!K59</f>
        <v>0</v>
      </c>
      <c r="E504" s="2">
        <f>K59</f>
        <v>0</v>
      </c>
      <c r="F504" s="333" t="str">
        <f t="shared" si="15"/>
        <v/>
      </c>
      <c r="G504" s="333" t="str">
        <f t="shared" si="15"/>
        <v/>
      </c>
      <c r="H504" s="334" t="str">
        <f t="shared" si="16"/>
        <v/>
      </c>
      <c r="I504" s="266"/>
      <c r="J504" s="2"/>
      <c r="K504" s="330"/>
      <c r="L504" s="33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2">
        <f>'[1]Prior Year'!L71</f>
        <v>0</v>
      </c>
      <c r="C505" s="332">
        <f>L71</f>
        <v>0</v>
      </c>
      <c r="D505" s="332">
        <f>'[1]Prior Year'!L59</f>
        <v>0</v>
      </c>
      <c r="E505" s="2">
        <f>L59</f>
        <v>0</v>
      </c>
      <c r="F505" s="333" t="str">
        <f t="shared" si="15"/>
        <v/>
      </c>
      <c r="G505" s="333" t="str">
        <f t="shared" si="15"/>
        <v/>
      </c>
      <c r="H505" s="334" t="str">
        <f t="shared" si="16"/>
        <v/>
      </c>
      <c r="I505" s="266"/>
      <c r="J505" s="2"/>
      <c r="K505" s="330"/>
      <c r="L505" s="33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2">
        <f>'[1]Prior Year'!M71</f>
        <v>0</v>
      </c>
      <c r="C506" s="332">
        <f>M71</f>
        <v>0</v>
      </c>
      <c r="D506" s="332">
        <f>'[1]Prior Year'!M59</f>
        <v>0</v>
      </c>
      <c r="E506" s="2">
        <f>M59</f>
        <v>0</v>
      </c>
      <c r="F506" s="333" t="str">
        <f t="shared" si="15"/>
        <v/>
      </c>
      <c r="G506" s="333" t="str">
        <f t="shared" si="15"/>
        <v/>
      </c>
      <c r="H506" s="334" t="str">
        <f t="shared" si="16"/>
        <v/>
      </c>
      <c r="I506" s="266"/>
      <c r="J506" s="2"/>
      <c r="K506" s="330"/>
      <c r="L506" s="33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2">
        <f>'[1]Prior Year'!N71</f>
        <v>0</v>
      </c>
      <c r="C507" s="332">
        <f>N71</f>
        <v>0</v>
      </c>
      <c r="D507" s="332">
        <f>'[1]Prior Year'!N59</f>
        <v>0</v>
      </c>
      <c r="E507" s="2">
        <f>N59</f>
        <v>0</v>
      </c>
      <c r="F507" s="333" t="str">
        <f t="shared" si="15"/>
        <v/>
      </c>
      <c r="G507" s="333" t="str">
        <f t="shared" si="15"/>
        <v/>
      </c>
      <c r="H507" s="334" t="str">
        <f t="shared" si="16"/>
        <v/>
      </c>
      <c r="I507" s="266"/>
      <c r="J507" s="2"/>
      <c r="K507" s="330"/>
      <c r="L507" s="33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2">
        <f>'[1]Prior Year'!O71</f>
        <v>0</v>
      </c>
      <c r="C508" s="332">
        <f>O71</f>
        <v>0</v>
      </c>
      <c r="D508" s="332">
        <f>'[1]Prior Year'!O59</f>
        <v>0</v>
      </c>
      <c r="E508" s="2">
        <f>O59</f>
        <v>0</v>
      </c>
      <c r="F508" s="333" t="str">
        <f t="shared" si="15"/>
        <v/>
      </c>
      <c r="G508" s="333" t="str">
        <f t="shared" si="15"/>
        <v/>
      </c>
      <c r="H508" s="334" t="str">
        <f t="shared" si="16"/>
        <v/>
      </c>
      <c r="I508" s="266"/>
      <c r="J508" s="2"/>
      <c r="K508" s="330"/>
      <c r="L508" s="33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2">
        <f>'[1]Prior Year'!P71</f>
        <v>9242151</v>
      </c>
      <c r="C509" s="332">
        <f>P71</f>
        <v>10148154</v>
      </c>
      <c r="D509" s="332">
        <f>'[1]Prior Year'!P59</f>
        <v>377479</v>
      </c>
      <c r="E509" s="2">
        <f>P59</f>
        <v>375935</v>
      </c>
      <c r="F509" s="333">
        <f t="shared" si="15"/>
        <v>24.483881222531586</v>
      </c>
      <c r="G509" s="333">
        <f t="shared" si="15"/>
        <v>26.9944378682485</v>
      </c>
      <c r="H509" s="334" t="str">
        <f t="shared" si="16"/>
        <v/>
      </c>
      <c r="I509" s="266"/>
      <c r="J509" s="2"/>
      <c r="K509" s="330"/>
      <c r="L509" s="33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2">
        <f>'[1]Prior Year'!Q71</f>
        <v>2068795</v>
      </c>
      <c r="C510" s="332">
        <f>Q71</f>
        <v>2263487</v>
      </c>
      <c r="D510" s="332">
        <f>'[1]Prior Year'!Q59</f>
        <v>183134</v>
      </c>
      <c r="E510" s="2">
        <f>Q59</f>
        <v>182118</v>
      </c>
      <c r="F510" s="333">
        <f t="shared" si="15"/>
        <v>11.296618869243286</v>
      </c>
      <c r="G510" s="333">
        <f t="shared" si="15"/>
        <v>12.428683600742376</v>
      </c>
      <c r="H510" s="334" t="str">
        <f t="shared" si="16"/>
        <v/>
      </c>
      <c r="I510" s="266"/>
      <c r="J510" s="2"/>
      <c r="K510" s="330"/>
      <c r="L510" s="33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2">
        <f>'[1]Prior Year'!R71</f>
        <v>358344</v>
      </c>
      <c r="C511" s="332">
        <f>R71</f>
        <v>236649</v>
      </c>
      <c r="D511" s="332">
        <f>'[1]Prior Year'!R59</f>
        <v>203214</v>
      </c>
      <c r="E511" s="2">
        <f>R59</f>
        <v>384901</v>
      </c>
      <c r="F511" s="333">
        <f t="shared" si="15"/>
        <v>1.7633824441229442</v>
      </c>
      <c r="G511" s="333">
        <f t="shared" si="15"/>
        <v>0.61483082662814592</v>
      </c>
      <c r="H511" s="334">
        <f t="shared" si="16"/>
        <v>-0.65133438371393959</v>
      </c>
      <c r="I511" s="266"/>
      <c r="J511" s="2"/>
      <c r="K511" s="330"/>
      <c r="L511" s="33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2">
        <f>'[1]Prior Year'!S71</f>
        <v>6959935</v>
      </c>
      <c r="C512" s="332">
        <f>S71</f>
        <v>7139536</v>
      </c>
      <c r="D512" s="326" t="s">
        <v>529</v>
      </c>
      <c r="E512" s="326" t="s">
        <v>529</v>
      </c>
      <c r="F512" s="333" t="str">
        <f t="shared" ref="F512:G527" si="17">IF(B512=0,"",IF(D512=0,"",B512/D512))</f>
        <v/>
      </c>
      <c r="G512" s="333" t="str">
        <f t="shared" si="17"/>
        <v/>
      </c>
      <c r="H512" s="334" t="str">
        <f t="shared" si="16"/>
        <v/>
      </c>
      <c r="I512" s="266"/>
      <c r="J512" s="2"/>
      <c r="K512" s="330"/>
      <c r="L512" s="33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2">
        <f>'[1]Prior Year'!T71</f>
        <v>0</v>
      </c>
      <c r="C513" s="332">
        <f>T71</f>
        <v>1166.68</v>
      </c>
      <c r="D513" s="326" t="s">
        <v>529</v>
      </c>
      <c r="E513" s="326" t="s">
        <v>529</v>
      </c>
      <c r="F513" s="333" t="str">
        <f t="shared" si="17"/>
        <v/>
      </c>
      <c r="G513" s="333" t="str">
        <f t="shared" si="17"/>
        <v/>
      </c>
      <c r="H513" s="334" t="str">
        <f t="shared" si="16"/>
        <v/>
      </c>
      <c r="I513" s="266"/>
      <c r="J513" s="2"/>
      <c r="K513" s="330"/>
      <c r="L513" s="33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2">
        <f>'[1]Prior Year'!U71</f>
        <v>4684720</v>
      </c>
      <c r="C514" s="332">
        <f>U71</f>
        <v>2588996</v>
      </c>
      <c r="D514" s="332">
        <f>'[1]Prior Year'!U59</f>
        <v>448337</v>
      </c>
      <c r="E514" s="2">
        <f>U59</f>
        <v>16716</v>
      </c>
      <c r="F514" s="333">
        <f t="shared" si="17"/>
        <v>10.449104133720839</v>
      </c>
      <c r="G514" s="333">
        <f t="shared" si="17"/>
        <v>154.88131131849724</v>
      </c>
      <c r="H514" s="334">
        <f t="shared" si="16"/>
        <v>13.82244882780638</v>
      </c>
      <c r="I514" s="266" t="s">
        <v>1277</v>
      </c>
      <c r="J514" s="2"/>
      <c r="K514" s="330"/>
      <c r="L514" s="33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2">
        <f>'[1]Prior Year'!V71</f>
        <v>0</v>
      </c>
      <c r="C515" s="332">
        <f>V71</f>
        <v>0</v>
      </c>
      <c r="D515" s="332">
        <f>'[1]Prior Year'!V59</f>
        <v>0</v>
      </c>
      <c r="E515" s="2">
        <f>V59</f>
        <v>0</v>
      </c>
      <c r="F515" s="333" t="str">
        <f t="shared" si="17"/>
        <v/>
      </c>
      <c r="G515" s="333" t="str">
        <f t="shared" si="17"/>
        <v/>
      </c>
      <c r="H515" s="334" t="str">
        <f t="shared" si="16"/>
        <v/>
      </c>
      <c r="I515" s="266"/>
      <c r="J515" s="2"/>
      <c r="K515" s="330"/>
      <c r="L515" s="33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2">
        <f>'[1]Prior Year'!W71</f>
        <v>0</v>
      </c>
      <c r="C516" s="332">
        <f>W71</f>
        <v>0</v>
      </c>
      <c r="D516" s="332">
        <f>'[1]Prior Year'!W59</f>
        <v>0</v>
      </c>
      <c r="E516" s="2">
        <f>W59</f>
        <v>0</v>
      </c>
      <c r="F516" s="333" t="str">
        <f t="shared" si="17"/>
        <v/>
      </c>
      <c r="G516" s="333" t="str">
        <f t="shared" si="17"/>
        <v/>
      </c>
      <c r="H516" s="334" t="str">
        <f t="shared" si="16"/>
        <v/>
      </c>
      <c r="I516" s="266"/>
      <c r="J516" s="2"/>
      <c r="K516" s="330"/>
      <c r="L516" s="33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2">
        <f>'[1]Prior Year'!X71</f>
        <v>1243738</v>
      </c>
      <c r="C517" s="332">
        <f>X71</f>
        <v>1360116</v>
      </c>
      <c r="D517" s="332">
        <f>'[1]Prior Year'!X59</f>
        <v>0</v>
      </c>
      <c r="E517" s="2">
        <f>X59</f>
        <v>0</v>
      </c>
      <c r="F517" s="333" t="str">
        <f t="shared" si="17"/>
        <v/>
      </c>
      <c r="G517" s="333" t="str">
        <f t="shared" si="17"/>
        <v/>
      </c>
      <c r="H517" s="334" t="str">
        <f t="shared" si="16"/>
        <v/>
      </c>
      <c r="I517" s="266"/>
      <c r="J517" s="2"/>
      <c r="K517" s="330"/>
      <c r="L517" s="33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2">
        <f>'[1]Prior Year'!Y71</f>
        <v>9612690</v>
      </c>
      <c r="C518" s="332">
        <f>Y71</f>
        <v>11285946</v>
      </c>
      <c r="D518" s="332">
        <f>'[1]Prior Year'!Y59</f>
        <v>616573</v>
      </c>
      <c r="E518" s="2">
        <f>Y59</f>
        <v>702181</v>
      </c>
      <c r="F518" s="333">
        <f t="shared" si="17"/>
        <v>15.590514018615801</v>
      </c>
      <c r="G518" s="333">
        <f t="shared" si="17"/>
        <v>16.072702052604669</v>
      </c>
      <c r="H518" s="334" t="str">
        <f t="shared" si="16"/>
        <v/>
      </c>
      <c r="I518" s="266"/>
      <c r="J518" s="2"/>
      <c r="K518" s="330"/>
      <c r="L518" s="33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2">
        <f>'[1]Prior Year'!Z71</f>
        <v>0</v>
      </c>
      <c r="C519" s="332">
        <f>Z71</f>
        <v>0</v>
      </c>
      <c r="D519" s="332">
        <f>'[1]Prior Year'!Z59</f>
        <v>0</v>
      </c>
      <c r="E519" s="2">
        <f>Z59</f>
        <v>0</v>
      </c>
      <c r="F519" s="333" t="str">
        <f t="shared" si="17"/>
        <v/>
      </c>
      <c r="G519" s="333" t="str">
        <f t="shared" si="17"/>
        <v/>
      </c>
      <c r="H519" s="334" t="str">
        <f t="shared" si="16"/>
        <v/>
      </c>
      <c r="I519" s="266"/>
      <c r="J519" s="2"/>
      <c r="K519" s="330"/>
      <c r="L519" s="33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2">
        <f>'[1]Prior Year'!AA71</f>
        <v>693681</v>
      </c>
      <c r="C520" s="332">
        <f>AA71</f>
        <v>12646</v>
      </c>
      <c r="D520" s="332">
        <f>'[1]Prior Year'!AA59</f>
        <v>9418</v>
      </c>
      <c r="E520" s="2">
        <f>AA59</f>
        <v>566</v>
      </c>
      <c r="F520" s="333">
        <f t="shared" si="17"/>
        <v>73.654809938415795</v>
      </c>
      <c r="G520" s="333">
        <f t="shared" si="17"/>
        <v>22.342756183745582</v>
      </c>
      <c r="H520" s="334">
        <f t="shared" si="16"/>
        <v>-0.6966558436247845</v>
      </c>
      <c r="I520" s="266"/>
      <c r="J520" s="2"/>
      <c r="K520" s="330"/>
      <c r="L520" s="33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2">
        <f>'[1]Prior Year'!AB71</f>
        <v>3086723</v>
      </c>
      <c r="C521" s="332">
        <f>AB71</f>
        <v>3871421</v>
      </c>
      <c r="D521" s="326" t="s">
        <v>529</v>
      </c>
      <c r="E521" s="326" t="s">
        <v>529</v>
      </c>
      <c r="F521" s="333" t="str">
        <f t="shared" si="17"/>
        <v/>
      </c>
      <c r="G521" s="333" t="str">
        <f t="shared" si="17"/>
        <v/>
      </c>
      <c r="H521" s="334" t="str">
        <f t="shared" si="16"/>
        <v/>
      </c>
      <c r="I521" s="266"/>
      <c r="J521" s="2"/>
      <c r="K521" s="330"/>
      <c r="L521" s="33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2">
        <f>'[1]Prior Year'!AC71</f>
        <v>223074</v>
      </c>
      <c r="C522" s="332">
        <f>AC71</f>
        <v>96672</v>
      </c>
      <c r="D522" s="332">
        <f>'[1]Prior Year'!AC59</f>
        <v>131</v>
      </c>
      <c r="E522" s="2">
        <f>AC59</f>
        <v>0</v>
      </c>
      <c r="F522" s="333">
        <f t="shared" si="17"/>
        <v>1702.854961832061</v>
      </c>
      <c r="G522" s="333" t="str">
        <f t="shared" si="17"/>
        <v/>
      </c>
      <c r="H522" s="334" t="str">
        <f t="shared" si="16"/>
        <v/>
      </c>
      <c r="I522" s="266"/>
      <c r="J522" s="2"/>
      <c r="K522" s="330"/>
      <c r="L522" s="33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2">
        <f>'[1]Prior Year'!AD71</f>
        <v>0</v>
      </c>
      <c r="C523" s="332">
        <f>AD71</f>
        <v>0</v>
      </c>
      <c r="D523" s="332">
        <f>'[1]Prior Year'!AD59</f>
        <v>0</v>
      </c>
      <c r="E523" s="2">
        <f>AD59</f>
        <v>0</v>
      </c>
      <c r="F523" s="333" t="str">
        <f t="shared" si="17"/>
        <v/>
      </c>
      <c r="G523" s="333" t="str">
        <f t="shared" si="17"/>
        <v/>
      </c>
      <c r="H523" s="334" t="str">
        <f t="shared" si="16"/>
        <v/>
      </c>
      <c r="I523" s="266"/>
      <c r="J523" s="2"/>
      <c r="K523" s="330"/>
      <c r="L523" s="33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2">
        <f>'[1]Prior Year'!AE71</f>
        <v>2794092</v>
      </c>
      <c r="C524" s="332">
        <f>AE71</f>
        <v>2988571</v>
      </c>
      <c r="D524" s="332">
        <f>'[1]Prior Year'!AE59</f>
        <v>87099</v>
      </c>
      <c r="E524" s="2">
        <f>AE59</f>
        <v>91567</v>
      </c>
      <c r="F524" s="333">
        <f t="shared" si="17"/>
        <v>32.07949574621982</v>
      </c>
      <c r="G524" s="333">
        <f t="shared" si="17"/>
        <v>32.638079220679941</v>
      </c>
      <c r="H524" s="334" t="str">
        <f t="shared" si="16"/>
        <v/>
      </c>
      <c r="I524" s="266"/>
      <c r="J524" s="2"/>
      <c r="K524" s="330"/>
      <c r="L524" s="33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2">
        <f>'[1]Prior Year'!AF71</f>
        <v>0</v>
      </c>
      <c r="C525" s="332">
        <f>AF71</f>
        <v>0</v>
      </c>
      <c r="D525" s="332">
        <f>'[1]Prior Year'!AF59</f>
        <v>0</v>
      </c>
      <c r="E525" s="2">
        <f>AF59</f>
        <v>0</v>
      </c>
      <c r="F525" s="333" t="str">
        <f t="shared" si="17"/>
        <v/>
      </c>
      <c r="G525" s="333" t="str">
        <f t="shared" si="17"/>
        <v/>
      </c>
      <c r="H525" s="334" t="str">
        <f t="shared" si="16"/>
        <v/>
      </c>
      <c r="I525" s="266"/>
      <c r="J525" s="2"/>
      <c r="K525" s="330"/>
      <c r="L525" s="33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2">
        <f>'[1]Prior Year'!AG71</f>
        <v>0</v>
      </c>
      <c r="C526" s="332">
        <f>AG71</f>
        <v>0</v>
      </c>
      <c r="D526" s="332">
        <f>'[1]Prior Year'!AG59</f>
        <v>0</v>
      </c>
      <c r="E526" s="2">
        <f>AG59</f>
        <v>0</v>
      </c>
      <c r="F526" s="333" t="str">
        <f t="shared" si="17"/>
        <v/>
      </c>
      <c r="G526" s="333" t="str">
        <f t="shared" si="17"/>
        <v/>
      </c>
      <c r="H526" s="334" t="str">
        <f t="shared" si="16"/>
        <v/>
      </c>
      <c r="I526" s="266"/>
      <c r="J526" s="2"/>
      <c r="K526" s="330"/>
      <c r="L526" s="33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2">
        <f>'[1]Prior Year'!AH71</f>
        <v>0</v>
      </c>
      <c r="C527" s="332">
        <f>AH71</f>
        <v>0</v>
      </c>
      <c r="D527" s="332">
        <f>'[1]Prior Year'!AH59</f>
        <v>0</v>
      </c>
      <c r="E527" s="2">
        <f>AH59</f>
        <v>0</v>
      </c>
      <c r="F527" s="333" t="str">
        <f t="shared" si="17"/>
        <v/>
      </c>
      <c r="G527" s="333" t="str">
        <f t="shared" si="17"/>
        <v/>
      </c>
      <c r="H527" s="334" t="str">
        <f t="shared" si="16"/>
        <v/>
      </c>
      <c r="I527" s="266"/>
      <c r="J527" s="2"/>
      <c r="K527" s="330"/>
      <c r="L527" s="33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2">
        <f>'[1]Prior Year'!AI71</f>
        <v>0</v>
      </c>
      <c r="C528" s="332">
        <f>AI71</f>
        <v>0</v>
      </c>
      <c r="D528" s="332">
        <f>'[1]Prior Year'!AI59</f>
        <v>0</v>
      </c>
      <c r="E528" s="2">
        <f>AI59</f>
        <v>0</v>
      </c>
      <c r="F528" s="333" t="str">
        <f t="shared" ref="F528:G540" si="18">IF(B528=0,"",IF(D528=0,"",B528/D528))</f>
        <v/>
      </c>
      <c r="G528" s="333" t="str">
        <f t="shared" si="18"/>
        <v/>
      </c>
      <c r="H528" s="334" t="str">
        <f t="shared" si="16"/>
        <v/>
      </c>
      <c r="I528" s="266"/>
      <c r="J528" s="2"/>
      <c r="K528" s="330"/>
      <c r="L528" s="33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2">
        <f>'[1]Prior Year'!AJ71</f>
        <v>52679534</v>
      </c>
      <c r="C529" s="332">
        <f>AJ71</f>
        <v>33539386</v>
      </c>
      <c r="D529" s="332">
        <f>'[1]Prior Year'!AJ59</f>
        <v>368018</v>
      </c>
      <c r="E529" s="2">
        <f>AJ59</f>
        <v>199478</v>
      </c>
      <c r="F529" s="333">
        <f t="shared" si="18"/>
        <v>143.1439060045976</v>
      </c>
      <c r="G529" s="333">
        <f t="shared" si="18"/>
        <v>168.1357643449403</v>
      </c>
      <c r="H529" s="334" t="str">
        <f t="shared" si="16"/>
        <v/>
      </c>
      <c r="I529" s="266"/>
      <c r="J529" s="2"/>
      <c r="K529" s="330"/>
      <c r="L529" s="33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2">
        <f>'[1]Prior Year'!AK71</f>
        <v>1772843</v>
      </c>
      <c r="C530" s="332">
        <f>AK71</f>
        <v>1781008</v>
      </c>
      <c r="D530" s="332">
        <f>'[1]Prior Year'!AK59</f>
        <v>8056</v>
      </c>
      <c r="E530" s="2">
        <f>AK59</f>
        <v>8987</v>
      </c>
      <c r="F530" s="333">
        <f t="shared" si="18"/>
        <v>220.06492055610724</v>
      </c>
      <c r="G530" s="333">
        <f t="shared" si="18"/>
        <v>198.17603204628909</v>
      </c>
      <c r="H530" s="334" t="str">
        <f t="shared" si="16"/>
        <v/>
      </c>
      <c r="I530" s="266"/>
      <c r="J530" s="2"/>
      <c r="K530" s="330"/>
      <c r="L530" s="33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2">
        <f>'[1]Prior Year'!AL71</f>
        <v>169683</v>
      </c>
      <c r="C531" s="332">
        <f>AL71</f>
        <v>125413</v>
      </c>
      <c r="D531" s="332">
        <f>'[1]Prior Year'!AL59</f>
        <v>1371</v>
      </c>
      <c r="E531" s="2">
        <f>AL59</f>
        <v>0</v>
      </c>
      <c r="F531" s="333">
        <f t="shared" si="18"/>
        <v>123.76586433260394</v>
      </c>
      <c r="G531" s="333" t="str">
        <f t="shared" si="18"/>
        <v/>
      </c>
      <c r="H531" s="334" t="str">
        <f t="shared" si="16"/>
        <v/>
      </c>
      <c r="I531" s="266"/>
      <c r="J531" s="2"/>
      <c r="K531" s="330"/>
      <c r="L531" s="33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2">
        <f>'[1]Prior Year'!AM71</f>
        <v>0</v>
      </c>
      <c r="C532" s="332">
        <f>AM71</f>
        <v>0</v>
      </c>
      <c r="D532" s="332">
        <f>'[1]Prior Year'!AM59</f>
        <v>0</v>
      </c>
      <c r="E532" s="2">
        <f>AM59</f>
        <v>0</v>
      </c>
      <c r="F532" s="333" t="str">
        <f t="shared" si="18"/>
        <v/>
      </c>
      <c r="G532" s="333" t="str">
        <f t="shared" si="18"/>
        <v/>
      </c>
      <c r="H532" s="334" t="str">
        <f t="shared" si="16"/>
        <v/>
      </c>
      <c r="I532" s="266"/>
      <c r="J532" s="2"/>
      <c r="K532" s="330"/>
      <c r="L532" s="33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2">
        <f>'[1]Prior Year'!AN71</f>
        <v>0</v>
      </c>
      <c r="C533" s="332">
        <f>AN71</f>
        <v>0</v>
      </c>
      <c r="D533" s="332">
        <f>'[1]Prior Year'!AN59</f>
        <v>0</v>
      </c>
      <c r="E533" s="2">
        <f>AN59</f>
        <v>0</v>
      </c>
      <c r="F533" s="333" t="str">
        <f t="shared" si="18"/>
        <v/>
      </c>
      <c r="G533" s="333" t="str">
        <f t="shared" si="18"/>
        <v/>
      </c>
      <c r="H533" s="334" t="str">
        <f t="shared" si="16"/>
        <v/>
      </c>
      <c r="I533" s="266"/>
      <c r="J533" s="2"/>
      <c r="K533" s="330"/>
      <c r="L533" s="33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2">
        <f>'[1]Prior Year'!AO71</f>
        <v>0</v>
      </c>
      <c r="C534" s="332">
        <f>AO71</f>
        <v>0</v>
      </c>
      <c r="D534" s="332">
        <f>'[1]Prior Year'!AO59</f>
        <v>0</v>
      </c>
      <c r="E534" s="2">
        <f>AO59</f>
        <v>0</v>
      </c>
      <c r="F534" s="333" t="str">
        <f t="shared" si="18"/>
        <v/>
      </c>
      <c r="G534" s="333" t="str">
        <f t="shared" si="18"/>
        <v/>
      </c>
      <c r="H534" s="334" t="str">
        <f t="shared" si="16"/>
        <v/>
      </c>
      <c r="I534" s="266"/>
      <c r="J534" s="2"/>
      <c r="K534" s="330"/>
      <c r="L534" s="33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2">
        <f>'[1]Prior Year'!AP71</f>
        <v>64027711</v>
      </c>
      <c r="C535" s="332">
        <f>AP71</f>
        <v>69086558</v>
      </c>
      <c r="D535" s="332">
        <f>'[1]Prior Year'!AP59</f>
        <v>520207</v>
      </c>
      <c r="E535" s="2">
        <f>AP59</f>
        <v>486083</v>
      </c>
      <c r="F535" s="333">
        <f t="shared" si="18"/>
        <v>123.08121766912018</v>
      </c>
      <c r="G535" s="333">
        <f t="shared" si="18"/>
        <v>142.12913843932003</v>
      </c>
      <c r="H535" s="334" t="str">
        <f t="shared" si="16"/>
        <v/>
      </c>
      <c r="I535" s="266"/>
      <c r="J535" s="2"/>
      <c r="K535" s="330"/>
      <c r="L535" s="33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2">
        <f>'[1]Prior Year'!AQ71</f>
        <v>0</v>
      </c>
      <c r="C536" s="332">
        <f>AQ71</f>
        <v>0</v>
      </c>
      <c r="D536" s="332">
        <f>'[1]Prior Year'!AQ59</f>
        <v>0</v>
      </c>
      <c r="E536" s="2">
        <f>AQ59</f>
        <v>0</v>
      </c>
      <c r="F536" s="333" t="str">
        <f t="shared" si="18"/>
        <v/>
      </c>
      <c r="G536" s="333" t="str">
        <f t="shared" si="18"/>
        <v/>
      </c>
      <c r="H536" s="334" t="str">
        <f t="shared" si="16"/>
        <v/>
      </c>
      <c r="I536" s="266"/>
      <c r="J536" s="2"/>
      <c r="K536" s="330"/>
      <c r="L536" s="33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2">
        <f>'[1]Prior Year'!AR71</f>
        <v>0</v>
      </c>
      <c r="C537" s="332">
        <f>AR71</f>
        <v>0</v>
      </c>
      <c r="D537" s="332">
        <f>'[1]Prior Year'!AR59</f>
        <v>0</v>
      </c>
      <c r="E537" s="2">
        <f>AR59</f>
        <v>0</v>
      </c>
      <c r="F537" s="333" t="str">
        <f t="shared" si="18"/>
        <v/>
      </c>
      <c r="G537" s="333" t="str">
        <f t="shared" si="18"/>
        <v/>
      </c>
      <c r="H537" s="334" t="str">
        <f t="shared" si="16"/>
        <v/>
      </c>
      <c r="I537" s="266"/>
      <c r="J537" s="2"/>
      <c r="K537" s="330"/>
      <c r="L537" s="33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2">
        <f>'[1]Prior Year'!AS71</f>
        <v>0</v>
      </c>
      <c r="C538" s="332">
        <f>AS71</f>
        <v>0</v>
      </c>
      <c r="D538" s="332">
        <f>'[1]Prior Year'!AS59</f>
        <v>0</v>
      </c>
      <c r="E538" s="2">
        <f>AS59</f>
        <v>0</v>
      </c>
      <c r="F538" s="333" t="str">
        <f t="shared" si="18"/>
        <v/>
      </c>
      <c r="G538" s="333" t="str">
        <f t="shared" si="18"/>
        <v/>
      </c>
      <c r="H538" s="334" t="str">
        <f t="shared" si="16"/>
        <v/>
      </c>
      <c r="I538" s="266"/>
      <c r="J538" s="2"/>
      <c r="K538" s="330"/>
      <c r="L538" s="33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2">
        <f>'[1]Prior Year'!AT71</f>
        <v>0</v>
      </c>
      <c r="C539" s="332">
        <f>AT71</f>
        <v>0</v>
      </c>
      <c r="D539" s="332">
        <f>'[1]Prior Year'!AT59</f>
        <v>0</v>
      </c>
      <c r="E539" s="2">
        <f>AT59</f>
        <v>0</v>
      </c>
      <c r="F539" s="333" t="str">
        <f t="shared" si="18"/>
        <v/>
      </c>
      <c r="G539" s="333" t="str">
        <f t="shared" si="18"/>
        <v/>
      </c>
      <c r="H539" s="334" t="str">
        <f t="shared" si="16"/>
        <v/>
      </c>
      <c r="I539" s="266"/>
      <c r="J539" s="2"/>
      <c r="K539" s="330"/>
      <c r="L539" s="33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2">
        <f>'[1]Prior Year'!AU71</f>
        <v>0</v>
      </c>
      <c r="C540" s="332">
        <f>AU71</f>
        <v>0</v>
      </c>
      <c r="D540" s="332">
        <f>'[1]Prior Year'!AU59</f>
        <v>0</v>
      </c>
      <c r="E540" s="2">
        <f>AU59</f>
        <v>0</v>
      </c>
      <c r="F540" s="333" t="str">
        <f t="shared" si="18"/>
        <v/>
      </c>
      <c r="G540" s="333" t="str">
        <f t="shared" si="18"/>
        <v/>
      </c>
      <c r="H540" s="334" t="str">
        <f t="shared" si="16"/>
        <v/>
      </c>
      <c r="I540" s="266"/>
      <c r="J540" s="2"/>
      <c r="K540" s="330"/>
      <c r="L540" s="33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2">
        <f>'[1]Prior Year'!AV71</f>
        <v>9715093</v>
      </c>
      <c r="C541" s="332">
        <f>AV71</f>
        <v>5276978</v>
      </c>
      <c r="D541" s="326" t="s">
        <v>529</v>
      </c>
      <c r="E541" s="326" t="s">
        <v>529</v>
      </c>
      <c r="F541" s="333"/>
      <c r="G541" s="333"/>
      <c r="H541" s="334"/>
      <c r="I541" s="266"/>
      <c r="J541" s="2"/>
      <c r="K541" s="330"/>
      <c r="L541" s="33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2">
        <f>'[1]Prior Year'!AW71</f>
        <v>160889</v>
      </c>
      <c r="C542" s="332">
        <f>AW71</f>
        <v>-189</v>
      </c>
      <c r="D542" s="326" t="s">
        <v>529</v>
      </c>
      <c r="E542" s="326" t="s">
        <v>529</v>
      </c>
      <c r="F542" s="333"/>
      <c r="G542" s="333"/>
      <c r="H542" s="334"/>
      <c r="I542" s="266"/>
      <c r="J542" s="2"/>
      <c r="K542" s="330"/>
      <c r="L542" s="33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2">
        <f>'[1]Prior Year'!AX71</f>
        <v>0</v>
      </c>
      <c r="C543" s="332">
        <f>AX71</f>
        <v>0</v>
      </c>
      <c r="D543" s="326" t="s">
        <v>529</v>
      </c>
      <c r="E543" s="326" t="s">
        <v>529</v>
      </c>
      <c r="F543" s="333"/>
      <c r="G543" s="333"/>
      <c r="H543" s="334"/>
      <c r="I543" s="266"/>
      <c r="J543" s="2"/>
      <c r="K543" s="330"/>
      <c r="L543" s="33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2">
        <f>'[1]Prior Year'!AY71</f>
        <v>540</v>
      </c>
      <c r="C544" s="332">
        <f>AY71</f>
        <v>0</v>
      </c>
      <c r="D544" s="332">
        <f>'[1]Prior Year'!AY59</f>
        <v>0</v>
      </c>
      <c r="E544" s="2">
        <f>AY59</f>
        <v>0</v>
      </c>
      <c r="F544" s="333" t="str">
        <f t="shared" ref="F544:G550" si="19">IF(B544=0,"",IF(D544=0,"",B544/D544))</f>
        <v/>
      </c>
      <c r="G544" s="333" t="str">
        <f t="shared" si="19"/>
        <v/>
      </c>
      <c r="H544" s="334" t="str">
        <f t="shared" si="16"/>
        <v/>
      </c>
      <c r="I544" s="266"/>
      <c r="J544" s="2"/>
      <c r="K544" s="330"/>
      <c r="L544" s="33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2">
        <f>'[1]Prior Year'!AZ71</f>
        <v>898535</v>
      </c>
      <c r="C545" s="332">
        <f>AZ71</f>
        <v>977439</v>
      </c>
      <c r="D545" s="332">
        <f>'[1]Prior Year'!AZ59</f>
        <v>8226</v>
      </c>
      <c r="E545" s="2">
        <f>AZ59</f>
        <v>6915</v>
      </c>
      <c r="F545" s="333">
        <f t="shared" si="19"/>
        <v>109.23109652321907</v>
      </c>
      <c r="G545" s="333">
        <f t="shared" si="19"/>
        <v>141.35054229934923</v>
      </c>
      <c r="H545" s="334">
        <f>IF(B545=0,"",IF(C545=0,"",IF(D545=0,"",IF(E545=0,"",IF(G545/F545-1&lt;-0.25,G545/F545-1,IF(G545/F545-1&gt;0.25,G545/F545-1,""))))))</f>
        <v>0.29405038307294284</v>
      </c>
      <c r="I545" s="266"/>
      <c r="J545" s="2"/>
      <c r="K545" s="330"/>
      <c r="L545" s="33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2">
        <f>'[1]Prior Year'!BA71</f>
        <v>69888</v>
      </c>
      <c r="C546" s="332">
        <f>BA71</f>
        <v>62308</v>
      </c>
      <c r="D546" s="332">
        <f>'[1]Prior Year'!BA59</f>
        <v>0</v>
      </c>
      <c r="E546" s="2">
        <f>BA59</f>
        <v>0</v>
      </c>
      <c r="F546" s="333" t="str">
        <f t="shared" si="19"/>
        <v/>
      </c>
      <c r="G546" s="333" t="str">
        <f t="shared" si="19"/>
        <v/>
      </c>
      <c r="H546" s="334" t="str">
        <f t="shared" si="16"/>
        <v/>
      </c>
      <c r="I546" s="266"/>
      <c r="J546" s="2"/>
      <c r="K546" s="330"/>
      <c r="L546" s="33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2">
        <f>'[1]Prior Year'!BB71</f>
        <v>0</v>
      </c>
      <c r="C547" s="332">
        <f>BB71</f>
        <v>0</v>
      </c>
      <c r="D547" s="326" t="s">
        <v>529</v>
      </c>
      <c r="E547" s="326" t="s">
        <v>529</v>
      </c>
      <c r="F547" s="333"/>
      <c r="G547" s="333"/>
      <c r="H547" s="334"/>
      <c r="I547" s="266"/>
      <c r="J547" s="2"/>
      <c r="K547" s="330"/>
      <c r="L547" s="33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2">
        <f>'[1]Prior Year'!BC71</f>
        <v>0</v>
      </c>
      <c r="C548" s="332">
        <f>BC71</f>
        <v>0</v>
      </c>
      <c r="D548" s="326" t="s">
        <v>529</v>
      </c>
      <c r="E548" s="326" t="s">
        <v>529</v>
      </c>
      <c r="F548" s="333"/>
      <c r="G548" s="333"/>
      <c r="H548" s="334"/>
      <c r="I548" s="266"/>
      <c r="J548" s="2"/>
      <c r="K548" s="330"/>
      <c r="L548" s="33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2">
        <f>'[1]Prior Year'!BD71</f>
        <v>0</v>
      </c>
      <c r="C549" s="332">
        <f>BD71</f>
        <v>0</v>
      </c>
      <c r="D549" s="326" t="s">
        <v>529</v>
      </c>
      <c r="E549" s="326" t="s">
        <v>529</v>
      </c>
      <c r="F549" s="333"/>
      <c r="G549" s="333"/>
      <c r="H549" s="334"/>
      <c r="I549" s="266"/>
      <c r="J549" s="2"/>
      <c r="K549" s="330"/>
      <c r="L549" s="33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2">
        <f>'[1]Prior Year'!BE71</f>
        <v>2587329</v>
      </c>
      <c r="C550" s="332">
        <f>BE71</f>
        <v>2292944</v>
      </c>
      <c r="D550" s="332">
        <f>'[1]Prior Year'!BE59</f>
        <v>375361</v>
      </c>
      <c r="E550" s="2">
        <f>BE59</f>
        <v>375361</v>
      </c>
      <c r="F550" s="333">
        <f t="shared" si="19"/>
        <v>6.8929084268211138</v>
      </c>
      <c r="G550" s="333">
        <f t="shared" si="19"/>
        <v>6.1086367523530685</v>
      </c>
      <c r="H550" s="334" t="str">
        <f t="shared" si="16"/>
        <v/>
      </c>
      <c r="I550" s="266"/>
      <c r="J550" s="2"/>
      <c r="K550" s="330"/>
      <c r="L550" s="33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2">
        <f>'[1]Prior Year'!BF71</f>
        <v>2640494</v>
      </c>
      <c r="C551" s="332">
        <f>BF71</f>
        <v>2399676</v>
      </c>
      <c r="D551" s="326" t="s">
        <v>529</v>
      </c>
      <c r="E551" s="326" t="s">
        <v>529</v>
      </c>
      <c r="F551" s="333"/>
      <c r="G551" s="333"/>
      <c r="H551" s="334"/>
      <c r="I551" s="266"/>
      <c r="J551" s="321"/>
      <c r="K551" s="2"/>
      <c r="L551" s="2"/>
      <c r="M551" s="33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2">
        <f>'[1]Prior Year'!BG71</f>
        <v>186024</v>
      </c>
      <c r="C552" s="332">
        <f>BG71</f>
        <v>958553</v>
      </c>
      <c r="D552" s="326" t="s">
        <v>529</v>
      </c>
      <c r="E552" s="326" t="s">
        <v>529</v>
      </c>
      <c r="F552" s="333"/>
      <c r="G552" s="333"/>
      <c r="H552" s="334"/>
      <c r="I552" s="2"/>
      <c r="J552" s="321"/>
      <c r="K552" s="2"/>
      <c r="L552" s="2"/>
      <c r="M552" s="33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2">
        <f>'[1]Prior Year'!BH71</f>
        <v>345468</v>
      </c>
      <c r="C553" s="332">
        <f>BH71</f>
        <v>274102</v>
      </c>
      <c r="D553" s="326" t="s">
        <v>529</v>
      </c>
      <c r="E553" s="326" t="s">
        <v>529</v>
      </c>
      <c r="F553" s="333"/>
      <c r="G553" s="333"/>
      <c r="H553" s="334"/>
      <c r="I553" s="2"/>
      <c r="J553" s="321"/>
      <c r="K553" s="2"/>
      <c r="L553" s="2"/>
      <c r="M553" s="33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2">
        <f>'[1]Prior Year'!BI71</f>
        <v>0</v>
      </c>
      <c r="C554" s="332">
        <f>BI71</f>
        <v>0</v>
      </c>
      <c r="D554" s="326" t="s">
        <v>529</v>
      </c>
      <c r="E554" s="326" t="s">
        <v>529</v>
      </c>
      <c r="F554" s="333"/>
      <c r="G554" s="333"/>
      <c r="H554" s="334"/>
      <c r="I554" s="2"/>
      <c r="J554" s="321"/>
      <c r="K554" s="2"/>
      <c r="L554" s="2"/>
      <c r="M554" s="33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2">
        <f>'[1]Prior Year'!BJ71</f>
        <v>0</v>
      </c>
      <c r="C555" s="332">
        <f>BJ71</f>
        <v>0</v>
      </c>
      <c r="D555" s="326" t="s">
        <v>529</v>
      </c>
      <c r="E555" s="326" t="s">
        <v>529</v>
      </c>
      <c r="F555" s="333"/>
      <c r="G555" s="333"/>
      <c r="H555" s="334"/>
      <c r="I555" s="2"/>
      <c r="J555" s="321"/>
      <c r="K555" s="2"/>
      <c r="L555" s="2"/>
      <c r="M555" s="33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2">
        <f>'[1]Prior Year'!BK71</f>
        <v>0</v>
      </c>
      <c r="C556" s="332">
        <f>BK71</f>
        <v>143170</v>
      </c>
      <c r="D556" s="326" t="s">
        <v>529</v>
      </c>
      <c r="E556" s="326" t="s">
        <v>529</v>
      </c>
      <c r="F556" s="333"/>
      <c r="G556" s="333"/>
      <c r="H556" s="334"/>
      <c r="I556" s="2"/>
      <c r="J556" s="321"/>
      <c r="K556" s="2"/>
      <c r="L556" s="2"/>
      <c r="M556" s="33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2">
        <f>'[1]Prior Year'!BL71</f>
        <v>0</v>
      </c>
      <c r="C557" s="332">
        <f>BL71</f>
        <v>0</v>
      </c>
      <c r="D557" s="326" t="s">
        <v>529</v>
      </c>
      <c r="E557" s="326" t="s">
        <v>529</v>
      </c>
      <c r="F557" s="333"/>
      <c r="G557" s="333"/>
      <c r="H557" s="334"/>
      <c r="I557" s="2"/>
      <c r="J557" s="321"/>
      <c r="K557" s="2"/>
      <c r="L557" s="2"/>
      <c r="M557" s="33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2">
        <f>'[1]Prior Year'!BM71</f>
        <v>0</v>
      </c>
      <c r="C558" s="332">
        <f>BM71</f>
        <v>0</v>
      </c>
      <c r="D558" s="326" t="s">
        <v>529</v>
      </c>
      <c r="E558" s="326" t="s">
        <v>529</v>
      </c>
      <c r="F558" s="333"/>
      <c r="G558" s="333"/>
      <c r="H558" s="334"/>
      <c r="I558" s="2"/>
      <c r="J558" s="321"/>
      <c r="K558" s="2"/>
      <c r="L558" s="2"/>
      <c r="M558" s="33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2">
        <f>'[1]Prior Year'!BN71</f>
        <v>156687685</v>
      </c>
      <c r="C559" s="332">
        <f>BN71</f>
        <v>131137098</v>
      </c>
      <c r="D559" s="326" t="s">
        <v>529</v>
      </c>
      <c r="E559" s="326" t="s">
        <v>529</v>
      </c>
      <c r="F559" s="333"/>
      <c r="G559" s="333"/>
      <c r="H559" s="334"/>
      <c r="I559" s="2"/>
      <c r="J559" s="321"/>
      <c r="K559" s="2"/>
      <c r="L559" s="2"/>
      <c r="M559" s="33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2">
        <f>'[1]Prior Year'!BO71</f>
        <v>0</v>
      </c>
      <c r="C560" s="332">
        <f>BO71</f>
        <v>110309</v>
      </c>
      <c r="D560" s="326" t="s">
        <v>529</v>
      </c>
      <c r="E560" s="326" t="s">
        <v>529</v>
      </c>
      <c r="F560" s="333"/>
      <c r="G560" s="333"/>
      <c r="H560" s="334"/>
      <c r="I560" s="2"/>
      <c r="J560" s="321"/>
      <c r="K560" s="2"/>
      <c r="L560" s="2"/>
      <c r="M560" s="33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2">
        <f>'[1]Prior Year'!BP71</f>
        <v>0</v>
      </c>
      <c r="C561" s="332">
        <f>BP71</f>
        <v>0</v>
      </c>
      <c r="D561" s="326" t="s">
        <v>529</v>
      </c>
      <c r="E561" s="326" t="s">
        <v>529</v>
      </c>
      <c r="F561" s="333"/>
      <c r="G561" s="333"/>
      <c r="H561" s="334"/>
      <c r="I561" s="2"/>
      <c r="J561" s="321"/>
      <c r="K561" s="2"/>
      <c r="L561" s="2"/>
      <c r="M561" s="33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2">
        <f>'[1]Prior Year'!BQ71</f>
        <v>0</v>
      </c>
      <c r="C562" s="332">
        <f>BQ71</f>
        <v>0</v>
      </c>
      <c r="D562" s="326" t="s">
        <v>529</v>
      </c>
      <c r="E562" s="326" t="s">
        <v>529</v>
      </c>
      <c r="F562" s="333"/>
      <c r="G562" s="333"/>
      <c r="H562" s="334"/>
      <c r="I562" s="2"/>
      <c r="J562" s="321"/>
      <c r="K562" s="2"/>
      <c r="L562" s="2"/>
      <c r="M562" s="33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2">
        <f>'[1]Prior Year'!BR71</f>
        <v>0</v>
      </c>
      <c r="C563" s="332">
        <f>BR71</f>
        <v>156</v>
      </c>
      <c r="D563" s="326" t="s">
        <v>529</v>
      </c>
      <c r="E563" s="326" t="s">
        <v>529</v>
      </c>
      <c r="F563" s="333"/>
      <c r="G563" s="333"/>
      <c r="H563" s="334"/>
      <c r="I563" s="2"/>
      <c r="J563" s="321"/>
      <c r="K563" s="2"/>
      <c r="L563" s="2"/>
      <c r="M563" s="33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2">
        <f>'[1]Prior Year'!BS71</f>
        <v>0</v>
      </c>
      <c r="C564" s="332">
        <f>BS71</f>
        <v>0</v>
      </c>
      <c r="D564" s="326" t="s">
        <v>529</v>
      </c>
      <c r="E564" s="326" t="s">
        <v>529</v>
      </c>
      <c r="F564" s="333"/>
      <c r="G564" s="333"/>
      <c r="H564" s="334"/>
      <c r="I564" s="2"/>
      <c r="J564" s="321"/>
      <c r="K564" s="2"/>
      <c r="L564" s="2"/>
      <c r="M564" s="33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2">
        <f>'[1]Prior Year'!BT71</f>
        <v>0</v>
      </c>
      <c r="C565" s="332">
        <f>BT71</f>
        <v>0</v>
      </c>
      <c r="D565" s="326" t="s">
        <v>529</v>
      </c>
      <c r="E565" s="326" t="s">
        <v>529</v>
      </c>
      <c r="F565" s="333"/>
      <c r="G565" s="333"/>
      <c r="H565" s="334"/>
      <c r="I565" s="2"/>
      <c r="J565" s="321"/>
      <c r="K565" s="2"/>
      <c r="L565" s="2"/>
      <c r="M565" s="33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2">
        <f>'[1]Prior Year'!BU71</f>
        <v>0</v>
      </c>
      <c r="C566" s="332">
        <f>BU71</f>
        <v>0</v>
      </c>
      <c r="D566" s="326" t="s">
        <v>529</v>
      </c>
      <c r="E566" s="326" t="s">
        <v>529</v>
      </c>
      <c r="F566" s="333"/>
      <c r="G566" s="333"/>
      <c r="H566" s="334"/>
      <c r="I566" s="2"/>
      <c r="J566" s="321"/>
      <c r="K566" s="2"/>
      <c r="L566" s="2"/>
      <c r="M566" s="33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2">
        <f>'[1]Prior Year'!BV71</f>
        <v>0</v>
      </c>
      <c r="C567" s="332">
        <f>BV71</f>
        <v>227516</v>
      </c>
      <c r="D567" s="326" t="s">
        <v>529</v>
      </c>
      <c r="E567" s="326" t="s">
        <v>529</v>
      </c>
      <c r="F567" s="333"/>
      <c r="G567" s="333"/>
      <c r="H567" s="334"/>
      <c r="I567" s="2"/>
      <c r="J567" s="321"/>
      <c r="K567" s="2"/>
      <c r="L567" s="2"/>
      <c r="M567" s="33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2">
        <f>'[1]Prior Year'!BW71</f>
        <v>0</v>
      </c>
      <c r="C568" s="332">
        <f>BW71</f>
        <v>0</v>
      </c>
      <c r="D568" s="326" t="s">
        <v>529</v>
      </c>
      <c r="E568" s="326" t="s">
        <v>529</v>
      </c>
      <c r="F568" s="333"/>
      <c r="G568" s="333"/>
      <c r="H568" s="334"/>
      <c r="I568" s="2"/>
      <c r="J568" s="321"/>
      <c r="K568" s="2"/>
      <c r="L568" s="2"/>
      <c r="M568" s="33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2">
        <f>'[1]Prior Year'!BX71</f>
        <v>0</v>
      </c>
      <c r="C569" s="332">
        <f>BX71</f>
        <v>0</v>
      </c>
      <c r="D569" s="326" t="s">
        <v>529</v>
      </c>
      <c r="E569" s="326" t="s">
        <v>529</v>
      </c>
      <c r="F569" s="333"/>
      <c r="G569" s="333"/>
      <c r="H569" s="334"/>
      <c r="I569" s="2"/>
      <c r="J569" s="321"/>
      <c r="K569" s="2"/>
      <c r="L569" s="2"/>
      <c r="M569" s="33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2">
        <f>'[1]Prior Year'!BY71</f>
        <v>0</v>
      </c>
      <c r="C570" s="332">
        <f>BY71</f>
        <v>0</v>
      </c>
      <c r="D570" s="326" t="s">
        <v>529</v>
      </c>
      <c r="E570" s="326" t="s">
        <v>529</v>
      </c>
      <c r="F570" s="333"/>
      <c r="G570" s="333"/>
      <c r="H570" s="334"/>
      <c r="I570" s="2"/>
      <c r="J570" s="321"/>
      <c r="K570" s="2"/>
      <c r="L570" s="2"/>
      <c r="M570" s="33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2">
        <f>'[1]Prior Year'!BZ71</f>
        <v>0</v>
      </c>
      <c r="C571" s="332">
        <f>BZ71</f>
        <v>0</v>
      </c>
      <c r="D571" s="326" t="s">
        <v>529</v>
      </c>
      <c r="E571" s="326" t="s">
        <v>529</v>
      </c>
      <c r="F571" s="333"/>
      <c r="G571" s="333"/>
      <c r="H571" s="334"/>
      <c r="I571" s="2"/>
      <c r="J571" s="321"/>
      <c r="K571" s="2"/>
      <c r="L571" s="2"/>
      <c r="M571" s="33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2">
        <f>'[1]Prior Year'!CA71</f>
        <v>0</v>
      </c>
      <c r="C572" s="332">
        <f>CA71</f>
        <v>0</v>
      </c>
      <c r="D572" s="326" t="s">
        <v>529</v>
      </c>
      <c r="E572" s="326" t="s">
        <v>529</v>
      </c>
      <c r="F572" s="333"/>
      <c r="G572" s="333"/>
      <c r="H572" s="334"/>
      <c r="I572" s="2"/>
      <c r="J572" s="321"/>
      <c r="K572" s="2"/>
      <c r="L572" s="2"/>
      <c r="M572" s="33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2">
        <f>'[1]Prior Year'!CB71</f>
        <v>0</v>
      </c>
      <c r="C573" s="332">
        <f>CB71</f>
        <v>2983</v>
      </c>
      <c r="D573" s="326" t="s">
        <v>529</v>
      </c>
      <c r="E573" s="326" t="s">
        <v>529</v>
      </c>
      <c r="F573" s="333"/>
      <c r="G573" s="333"/>
      <c r="H573" s="334"/>
      <c r="I573" s="2"/>
      <c r="J573" s="321"/>
      <c r="K573" s="2"/>
      <c r="L573" s="2"/>
      <c r="M573" s="33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2">
        <f>'[1]Prior Year'!CC71</f>
        <v>39852494</v>
      </c>
      <c r="C574" s="332">
        <f>CC71</f>
        <v>-361729</v>
      </c>
      <c r="D574" s="326" t="s">
        <v>529</v>
      </c>
      <c r="E574" s="326" t="s">
        <v>529</v>
      </c>
      <c r="F574" s="333"/>
      <c r="G574" s="333"/>
      <c r="H574" s="334"/>
      <c r="I574" s="2"/>
      <c r="J574" s="321"/>
      <c r="K574" s="2"/>
      <c r="L574" s="2"/>
      <c r="M574" s="33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2">
        <f>'[1]Prior Year'!CD71</f>
        <v>-72517660</v>
      </c>
      <c r="C575" s="332">
        <f>CD71</f>
        <v>-22987690</v>
      </c>
      <c r="D575" s="326" t="s">
        <v>529</v>
      </c>
      <c r="E575" s="326" t="s">
        <v>529</v>
      </c>
      <c r="F575" s="333"/>
      <c r="G575" s="333"/>
      <c r="H575" s="33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5"/>
      <c r="B612" s="2"/>
      <c r="C612" s="326" t="s">
        <v>589</v>
      </c>
      <c r="D612" s="2">
        <f>CE76-(BE76+CD76)</f>
        <v>359698</v>
      </c>
      <c r="E612" s="2">
        <f>SUM(C624:D647)+SUM(C668:D713)</f>
        <v>142582666.76814616</v>
      </c>
      <c r="F612" s="2">
        <f>CE64-(AX64+BD64+BE64+BG64+BJ64+BN64+BP64+BQ64+CB64+CC64+CD64)</f>
        <v>31032384.68</v>
      </c>
      <c r="G612" s="2">
        <f>CE77-(AX77+AY77+BD77+BE77+BG77+BJ77+BN77+BP77+BQ77+CB77+CC77+CD77)</f>
        <v>6915</v>
      </c>
      <c r="H612" s="325">
        <f>CE60-(AX60+AY60+AZ60+BD60+BE60+BG60+BJ60+BN60+BO60+BP60+BQ60+BR60+CB60+CC60+CD60)</f>
        <v>1082.7199999999998</v>
      </c>
      <c r="I612" s="2">
        <f>CE78-(AX78+AY78+AZ78+BD78+BE78+BF78+BG78+BJ78+BN78+BO78+BP78+BQ78+BR78+CB78+CC78+CD78)</f>
        <v>306367</v>
      </c>
      <c r="J612" s="2">
        <f>CE79-(AX79+AY79+AZ79+BA79+BD79+BE79+BF79+BG79+BJ79+BN79+BO79+BP79+BQ79+BR79+CB79+CC79+CD79)</f>
        <v>345920</v>
      </c>
      <c r="K612" s="2">
        <f>CE75-(AW75+AX75+AY75+AZ75+BA75+BB75+BC75+BD75+BE75+BF75+BG75+BH75+BI75+BJ75+BK75+BL75+BM75+BN75+BO75+BP75+BQ75+BR75+BS75+BT75+BU75+BV75+BW75+BX75+CB75+CC75+CD75)</f>
        <v>557843529</v>
      </c>
      <c r="L612" s="325">
        <f>CE80-(AW80+AX80+AY80+AZ80+BA80+BB80+BC80+BD80+BE80+BF80+BG80+BH80+BI80+BJ80+BK80+BL80+BM80+BN80+BO80+BP80+BQ80+BR80+BS80+BT80+BU80+BV80+BW80+BX80+BY80+BZ80+CA80+CB80+CC80+CD80)</f>
        <v>201.88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5"/>
      <c r="B613" s="2"/>
      <c r="C613" s="326" t="s">
        <v>590</v>
      </c>
      <c r="D613" s="326" t="s">
        <v>591</v>
      </c>
      <c r="E613" s="329" t="s">
        <v>592</v>
      </c>
      <c r="F613" s="326" t="s">
        <v>593</v>
      </c>
      <c r="G613" s="326" t="s">
        <v>594</v>
      </c>
      <c r="H613" s="326" t="s">
        <v>595</v>
      </c>
      <c r="I613" s="326" t="s">
        <v>596</v>
      </c>
      <c r="J613" s="326" t="s">
        <v>597</v>
      </c>
      <c r="K613" s="326" t="s">
        <v>598</v>
      </c>
      <c r="L613" s="329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5">
        <v>8430</v>
      </c>
      <c r="B614" s="329" t="s">
        <v>140</v>
      </c>
      <c r="C614" s="2">
        <f>BE71</f>
        <v>2292944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1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5"/>
      <c r="B615" s="329" t="s">
        <v>601</v>
      </c>
      <c r="C615" s="336">
        <f>CD69-CD70</f>
        <v>-22987690</v>
      </c>
      <c r="D615" s="337">
        <f>SUM(C614:C615)</f>
        <v>-20694746</v>
      </c>
      <c r="E615" s="2"/>
      <c r="F615" s="2"/>
      <c r="G615" s="2"/>
      <c r="H615" s="2"/>
      <c r="I615" s="2"/>
      <c r="J615" s="2"/>
      <c r="K615" s="2"/>
      <c r="L615" s="2"/>
      <c r="M615" s="2"/>
      <c r="N615" s="321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5">
        <v>8310</v>
      </c>
      <c r="B616" s="338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1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5">
        <v>8510</v>
      </c>
      <c r="B617" s="338" t="s">
        <v>145</v>
      </c>
      <c r="C617" s="2">
        <f>BJ71</f>
        <v>0</v>
      </c>
      <c r="D617" s="2">
        <f>(D615/D612)*BJ76</f>
        <v>-33772.264238333271</v>
      </c>
      <c r="E617" s="2"/>
      <c r="F617" s="2"/>
      <c r="G617" s="2"/>
      <c r="H617" s="2"/>
      <c r="I617" s="2"/>
      <c r="J617" s="2"/>
      <c r="K617" s="2"/>
      <c r="L617" s="2"/>
      <c r="M617" s="2"/>
      <c r="N617" s="321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5">
        <v>8470</v>
      </c>
      <c r="B618" s="338" t="s">
        <v>606</v>
      </c>
      <c r="C618" s="2">
        <f>BG71</f>
        <v>958553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1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5">
        <v>8610</v>
      </c>
      <c r="B619" s="338" t="s">
        <v>608</v>
      </c>
      <c r="C619" s="2">
        <f>BN71</f>
        <v>131137098</v>
      </c>
      <c r="D619" s="2">
        <f>(D615/D612)*BN76</f>
        <v>-1062589.3496043903</v>
      </c>
      <c r="E619" s="2"/>
      <c r="F619" s="2"/>
      <c r="G619" s="2"/>
      <c r="H619" s="2"/>
      <c r="I619" s="2"/>
      <c r="J619" s="2"/>
      <c r="K619" s="2"/>
      <c r="L619" s="2"/>
      <c r="M619" s="2"/>
      <c r="N619" s="321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5">
        <v>8790</v>
      </c>
      <c r="B620" s="338" t="s">
        <v>610</v>
      </c>
      <c r="C620" s="2">
        <f>CC71</f>
        <v>-361729</v>
      </c>
      <c r="D620" s="2">
        <f>(D615/D612)*CC76</f>
        <v>-1801839.4743034435</v>
      </c>
      <c r="E620" s="2"/>
      <c r="F620" s="2"/>
      <c r="G620" s="2"/>
      <c r="H620" s="2"/>
      <c r="I620" s="2"/>
      <c r="J620" s="2"/>
      <c r="K620" s="2"/>
      <c r="L620" s="2"/>
      <c r="M620" s="2"/>
      <c r="N620" s="321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5">
        <v>8630</v>
      </c>
      <c r="B621" s="338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1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5">
        <v>8770</v>
      </c>
      <c r="B622" s="329" t="s">
        <v>614</v>
      </c>
      <c r="C622" s="2">
        <f>CB71</f>
        <v>2983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1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5">
        <v>8640</v>
      </c>
      <c r="B623" s="338" t="s">
        <v>616</v>
      </c>
      <c r="C623" s="2">
        <f>BQ71</f>
        <v>0</v>
      </c>
      <c r="D623" s="2">
        <f>(D615/D612)*BQ76</f>
        <v>0</v>
      </c>
      <c r="E623" s="2">
        <f>SUM(C616:D623)</f>
        <v>128838703.91185385</v>
      </c>
      <c r="F623" s="2"/>
      <c r="G623" s="2"/>
      <c r="H623" s="2"/>
      <c r="I623" s="2"/>
      <c r="J623" s="2"/>
      <c r="K623" s="2"/>
      <c r="L623" s="2"/>
      <c r="M623" s="2"/>
      <c r="N623" s="321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5">
        <v>8420</v>
      </c>
      <c r="B624" s="338" t="s">
        <v>139</v>
      </c>
      <c r="C624" s="2">
        <f>BD71</f>
        <v>0</v>
      </c>
      <c r="D624" s="2">
        <f>(D615/D612)*BD76</f>
        <v>0</v>
      </c>
      <c r="E624" s="2">
        <f>(E623/E612)*SUM(C624:D624)</f>
        <v>0</v>
      </c>
      <c r="F624" s="2">
        <f>SUM(C624:E624)</f>
        <v>0</v>
      </c>
      <c r="G624" s="2"/>
      <c r="H624" s="2"/>
      <c r="I624" s="2"/>
      <c r="J624" s="2"/>
      <c r="K624" s="2"/>
      <c r="L624" s="2"/>
      <c r="M624" s="2"/>
      <c r="N624" s="321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5">
        <v>8320</v>
      </c>
      <c r="B625" s="338" t="s">
        <v>135</v>
      </c>
      <c r="C625" s="2">
        <f>AY71</f>
        <v>0</v>
      </c>
      <c r="D625" s="2">
        <f>(D615/D612)*AY76</f>
        <v>0</v>
      </c>
      <c r="E625" s="2">
        <f>(E623/E612)*SUM(C625:D625)</f>
        <v>0</v>
      </c>
      <c r="F625" s="2">
        <f>(F624/F612)*AY64</f>
        <v>0</v>
      </c>
      <c r="G625" s="2">
        <f>SUM(C625:F625)</f>
        <v>0</v>
      </c>
      <c r="H625" s="2"/>
      <c r="I625" s="2"/>
      <c r="J625" s="2"/>
      <c r="K625" s="2"/>
      <c r="L625" s="2"/>
      <c r="M625" s="2"/>
      <c r="N625" s="321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5">
        <v>8650</v>
      </c>
      <c r="B626" s="338" t="s">
        <v>152</v>
      </c>
      <c r="C626" s="2">
        <f>BR71</f>
        <v>156</v>
      </c>
      <c r="D626" s="2">
        <f>(D615/D612)*BR76</f>
        <v>0</v>
      </c>
      <c r="E626" s="2">
        <f>(E623/E612)*SUM(C626:D626)</f>
        <v>140.96270090762116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1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5">
        <v>8620</v>
      </c>
      <c r="B627" s="329" t="s">
        <v>621</v>
      </c>
      <c r="C627" s="2">
        <f>BO71</f>
        <v>110309</v>
      </c>
      <c r="D627" s="2">
        <f>(D615/D612)*BO76</f>
        <v>0</v>
      </c>
      <c r="E627" s="2">
        <f>(E623/E612)*SUM(C627:D627)</f>
        <v>99675.990861658851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1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5">
        <v>8330</v>
      </c>
      <c r="B628" s="338" t="s">
        <v>136</v>
      </c>
      <c r="C628" s="2">
        <f>AZ71</f>
        <v>977439</v>
      </c>
      <c r="D628" s="2">
        <f>(D615/D612)*AZ76</f>
        <v>-94470.285995473983</v>
      </c>
      <c r="E628" s="2">
        <f>(E623/E612)*SUM(C628:D628)</f>
        <v>797856.76117312105</v>
      </c>
      <c r="F628" s="2">
        <f>(F624/F612)*AZ64</f>
        <v>0</v>
      </c>
      <c r="G628" s="2">
        <f>(G625/G612)*AZ77</f>
        <v>0</v>
      </c>
      <c r="H628" s="2">
        <f>SUM(C626:G628)</f>
        <v>1891107.4287402136</v>
      </c>
      <c r="I628" s="2"/>
      <c r="J628" s="2"/>
      <c r="K628" s="2"/>
      <c r="L628" s="2"/>
      <c r="M628" s="2"/>
      <c r="N628" s="321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5">
        <v>8460</v>
      </c>
      <c r="B629" s="338" t="s">
        <v>141</v>
      </c>
      <c r="C629" s="2">
        <f>BF71</f>
        <v>2399676</v>
      </c>
      <c r="D629" s="2">
        <f>(D615/D612)*BF76</f>
        <v>-75656.775934255958</v>
      </c>
      <c r="E629" s="2">
        <f>(E623/E612)*SUM(C629:D629)</f>
        <v>2100000.1717021875</v>
      </c>
      <c r="F629" s="2">
        <f>(F624/F612)*BF64</f>
        <v>0</v>
      </c>
      <c r="G629" s="2">
        <f>(G625/G612)*BF77</f>
        <v>0</v>
      </c>
      <c r="H629" s="2">
        <f>(H628/H612)*BF60</f>
        <v>44905.766950745252</v>
      </c>
      <c r="I629" s="2">
        <f>SUM(C629:H629)</f>
        <v>4468925.162718676</v>
      </c>
      <c r="J629" s="2"/>
      <c r="K629" s="2"/>
      <c r="L629" s="2"/>
      <c r="M629" s="2"/>
      <c r="N629" s="321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5">
        <v>8350</v>
      </c>
      <c r="B630" s="338" t="s">
        <v>625</v>
      </c>
      <c r="C630" s="2">
        <f>BA71</f>
        <v>62308</v>
      </c>
      <c r="D630" s="2">
        <f>(D615/D612)*BA76</f>
        <v>0</v>
      </c>
      <c r="E630" s="2">
        <f>(E623/E612)*SUM(C630:D630)</f>
        <v>56301.948513795243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118609.94851379524</v>
      </c>
      <c r="K630" s="2"/>
      <c r="L630" s="2"/>
      <c r="M630" s="2"/>
      <c r="N630" s="321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5">
        <v>8200</v>
      </c>
      <c r="B631" s="338" t="s">
        <v>627</v>
      </c>
      <c r="C631" s="2">
        <f>AW71</f>
        <v>-189</v>
      </c>
      <c r="D631" s="2">
        <f>(D615/D612)*AW76</f>
        <v>0</v>
      </c>
      <c r="E631" s="2">
        <f>(E623/E612)*SUM(C631:D631)</f>
        <v>-170.78173379192563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1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5">
        <v>8360</v>
      </c>
      <c r="B632" s="338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1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5">
        <v>8370</v>
      </c>
      <c r="B633" s="338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1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5">
        <v>8490</v>
      </c>
      <c r="B634" s="338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1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5">
        <v>8530</v>
      </c>
      <c r="B635" s="338" t="s">
        <v>635</v>
      </c>
      <c r="C635" s="2">
        <f>BK71</f>
        <v>143170</v>
      </c>
      <c r="D635" s="2">
        <f>(D615/D612)*BK76</f>
        <v>0</v>
      </c>
      <c r="E635" s="2">
        <f>(E623/E612)*SUM(C635:D635)</f>
        <v>129369.4223650264</v>
      </c>
      <c r="F635" s="2">
        <f>(F624/F612)*BK64</f>
        <v>0</v>
      </c>
      <c r="G635" s="2">
        <f>(G625/G612)*BK77</f>
        <v>0</v>
      </c>
      <c r="H635" s="2">
        <f>(H628/H612)*BK60</f>
        <v>4122.0385065639357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1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5">
        <v>8480</v>
      </c>
      <c r="B636" s="338" t="s">
        <v>637</v>
      </c>
      <c r="C636" s="2">
        <f>BH71</f>
        <v>274102</v>
      </c>
      <c r="D636" s="2">
        <f>(D615/D612)*BH76</f>
        <v>-211321.16958670886</v>
      </c>
      <c r="E636" s="2">
        <f>(E623/E612)*SUM(C636:D636)</f>
        <v>56729.201412056696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53577.448363125593</v>
      </c>
      <c r="J636" s="2">
        <f>(J630/J612)*BH79</f>
        <v>0</v>
      </c>
      <c r="K636" s="2"/>
      <c r="L636" s="2"/>
      <c r="M636" s="2"/>
      <c r="N636" s="321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5">
        <v>8560</v>
      </c>
      <c r="B637" s="338" t="s">
        <v>147</v>
      </c>
      <c r="C637" s="2">
        <f>BL71</f>
        <v>0</v>
      </c>
      <c r="D637" s="2">
        <f>(D615/D612)*BL76</f>
        <v>0</v>
      </c>
      <c r="E637" s="2">
        <f>(E623/E612)*SUM(C637:D637)</f>
        <v>0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1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5">
        <v>8590</v>
      </c>
      <c r="B638" s="338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1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5">
        <v>8660</v>
      </c>
      <c r="B639" s="338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1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5">
        <v>8670</v>
      </c>
      <c r="B640" s="338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1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5">
        <v>8680</v>
      </c>
      <c r="B641" s="338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1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5">
        <v>8690</v>
      </c>
      <c r="B642" s="338" t="s">
        <v>648</v>
      </c>
      <c r="C642" s="2">
        <f>BV71</f>
        <v>227516</v>
      </c>
      <c r="D642" s="2">
        <f>(D615/D612)*BV76</f>
        <v>-1006954.290799504</v>
      </c>
      <c r="E642" s="2">
        <f>(E623/E612)*SUM(C642:D642)</f>
        <v>-704305.9401404995</v>
      </c>
      <c r="F642" s="2">
        <f>(F624/F612)*BV64</f>
        <v>0</v>
      </c>
      <c r="G642" s="2">
        <f>(G625/G612)*BV77</f>
        <v>0</v>
      </c>
      <c r="H642" s="2">
        <f>(H628/H612)*BV60</f>
        <v>7143.702327053601</v>
      </c>
      <c r="I642" s="2">
        <f>(I629/I612)*BV78</f>
        <v>255298.80240986226</v>
      </c>
      <c r="J642" s="2">
        <f>(J630/J612)*BV79</f>
        <v>0</v>
      </c>
      <c r="K642" s="2"/>
      <c r="L642" s="2"/>
      <c r="M642" s="2"/>
      <c r="N642" s="321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5">
        <v>8700</v>
      </c>
      <c r="B643" s="338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1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5">
        <v>8710</v>
      </c>
      <c r="B644" s="338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-771912.56687681575</v>
      </c>
      <c r="L644" s="2"/>
      <c r="M644" s="2"/>
      <c r="N644" s="321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5">
        <v>8720</v>
      </c>
      <c r="B645" s="338" t="s">
        <v>654</v>
      </c>
      <c r="C645" s="2">
        <f>BY71</f>
        <v>0</v>
      </c>
      <c r="D645" s="2">
        <f>(D615/D612)*BY76</f>
        <v>0</v>
      </c>
      <c r="E645" s="2">
        <f>(E623/E612)*SUM(C645:D645)</f>
        <v>0</v>
      </c>
      <c r="F645" s="2">
        <f>(F624/F612)*BY64</f>
        <v>0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1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5">
        <v>8730</v>
      </c>
      <c r="B646" s="338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1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5">
        <v>8740</v>
      </c>
      <c r="B647" s="338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0</v>
      </c>
      <c r="M647" s="2"/>
      <c r="N647" s="321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5"/>
      <c r="B648" s="335"/>
      <c r="C648" s="2">
        <f>SUM(C614:C647)</f>
        <v>115236646</v>
      </c>
      <c r="D648" s="2"/>
      <c r="E648" s="2"/>
      <c r="F648" s="2"/>
      <c r="G648" s="2"/>
      <c r="H648" s="2"/>
      <c r="I648" s="2"/>
      <c r="J648" s="2"/>
      <c r="K648" s="2"/>
      <c r="L648" s="337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6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6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6" t="s">
        <v>590</v>
      </c>
      <c r="D667" s="326" t="s">
        <v>591</v>
      </c>
      <c r="E667" s="329" t="s">
        <v>592</v>
      </c>
      <c r="F667" s="326" t="s">
        <v>593</v>
      </c>
      <c r="G667" s="326" t="s">
        <v>594</v>
      </c>
      <c r="H667" s="326" t="s">
        <v>595</v>
      </c>
      <c r="I667" s="326" t="s">
        <v>596</v>
      </c>
      <c r="J667" s="326" t="s">
        <v>597</v>
      </c>
      <c r="K667" s="326" t="s">
        <v>598</v>
      </c>
      <c r="L667" s="329" t="s">
        <v>599</v>
      </c>
      <c r="M667" s="326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5">
        <v>6010</v>
      </c>
      <c r="B668" s="329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29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5">
        <v>6030</v>
      </c>
      <c r="B669" s="329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29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5">
        <v>6070</v>
      </c>
      <c r="B670" s="329" t="s">
        <v>665</v>
      </c>
      <c r="C670" s="2">
        <f>E71</f>
        <v>1765574</v>
      </c>
      <c r="D670" s="2">
        <f>(D615/D612)*E76</f>
        <v>-395083.71128557844</v>
      </c>
      <c r="E670" s="2">
        <f>(E623/E612)*SUM(C670:D670)</f>
        <v>1238384.6965695536</v>
      </c>
      <c r="F670" s="2">
        <f>(F624/F612)*E64</f>
        <v>0</v>
      </c>
      <c r="G670" s="2">
        <f>(G625/G612)*E77</f>
        <v>0</v>
      </c>
      <c r="H670" s="2">
        <f>(H628/H612)*E60</f>
        <v>25291.151514849913</v>
      </c>
      <c r="I670" s="2">
        <f>(I629/I612)*E78</f>
        <v>100167.80231679375</v>
      </c>
      <c r="J670" s="2">
        <f>(J630/J612)*E79</f>
        <v>23458.998749619361</v>
      </c>
      <c r="K670" s="2">
        <f>(K644/K612)*E75</f>
        <v>-4754.7030875999098</v>
      </c>
      <c r="L670" s="2">
        <f>(L647/L612)*E80</f>
        <v>0</v>
      </c>
      <c r="M670" s="2">
        <f t="shared" si="20"/>
        <v>987464</v>
      </c>
      <c r="N670" s="329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5">
        <v>6100</v>
      </c>
      <c r="B671" s="329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29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5">
        <v>6120</v>
      </c>
      <c r="B672" s="329" t="s">
        <v>669</v>
      </c>
      <c r="C672" s="2">
        <f>G71</f>
        <v>2616447</v>
      </c>
      <c r="D672" s="2">
        <f>(D615/D612)*G76</f>
        <v>-281627.31421915052</v>
      </c>
      <c r="E672" s="2">
        <f>(E623/E612)*SUM(C672:D672)</f>
        <v>2109759.5451278966</v>
      </c>
      <c r="F672" s="2">
        <f>(F624/F612)*G64</f>
        <v>0</v>
      </c>
      <c r="G672" s="2">
        <f>(G625/G612)*G77</f>
        <v>0</v>
      </c>
      <c r="H672" s="2">
        <f>(H628/H612)*G60</f>
        <v>43001.94408118818</v>
      </c>
      <c r="I672" s="2">
        <f>(I629/I612)*G78</f>
        <v>71402.561867002383</v>
      </c>
      <c r="J672" s="2">
        <f>(J630/J612)*G79</f>
        <v>674.79295407940867</v>
      </c>
      <c r="K672" s="2">
        <f>(K644/K612)*G75</f>
        <v>-6599.8106951619993</v>
      </c>
      <c r="L672" s="2">
        <f>(L647/L612)*G80</f>
        <v>0</v>
      </c>
      <c r="M672" s="2">
        <f t="shared" si="20"/>
        <v>1936612</v>
      </c>
      <c r="N672" s="329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5">
        <v>6140</v>
      </c>
      <c r="B673" s="329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29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5">
        <v>6150</v>
      </c>
      <c r="B674" s="329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29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5">
        <v>6170</v>
      </c>
      <c r="B675" s="329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29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5">
        <v>6200</v>
      </c>
      <c r="B676" s="329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29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5">
        <v>6210</v>
      </c>
      <c r="B677" s="329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29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5">
        <v>6330</v>
      </c>
      <c r="B678" s="329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29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5">
        <v>6400</v>
      </c>
      <c r="B679" s="329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29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5">
        <v>7010</v>
      </c>
      <c r="B680" s="329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29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5">
        <v>7020</v>
      </c>
      <c r="B681" s="329" t="s">
        <v>684</v>
      </c>
      <c r="C681" s="2">
        <f>P71</f>
        <v>10148154</v>
      </c>
      <c r="D681" s="2">
        <f>(D615/D612)*P76</f>
        <v>-1587756.6885609594</v>
      </c>
      <c r="E681" s="2">
        <f>(E623/E612)*SUM(C681:D681)</f>
        <v>7735235.4221973447</v>
      </c>
      <c r="F681" s="2">
        <f>(F624/F612)*P64</f>
        <v>0</v>
      </c>
      <c r="G681" s="2">
        <f>(G625/G612)*P77</f>
        <v>0</v>
      </c>
      <c r="H681" s="2">
        <f>(H628/H612)*P60</f>
        <v>92972.927840846736</v>
      </c>
      <c r="I681" s="2">
        <f>(I629/I612)*P78</f>
        <v>402552.91110187228</v>
      </c>
      <c r="J681" s="2">
        <f>(J630/J612)*P79</f>
        <v>49890.789629253188</v>
      </c>
      <c r="K681" s="2">
        <f>(K644/K612)*P75</f>
        <v>-106331.23820532869</v>
      </c>
      <c r="L681" s="2">
        <f>(L647/L612)*P80</f>
        <v>0</v>
      </c>
      <c r="M681" s="2">
        <f t="shared" si="20"/>
        <v>6586564</v>
      </c>
      <c r="N681" s="329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5">
        <v>7030</v>
      </c>
      <c r="B682" s="329" t="s">
        <v>686</v>
      </c>
      <c r="C682" s="2">
        <f>Q71</f>
        <v>2263487</v>
      </c>
      <c r="D682" s="2">
        <f>(D615/D612)*Q76</f>
        <v>-396867.25505284988</v>
      </c>
      <c r="E682" s="2">
        <f>(E623/E612)*SUM(C682:D682)</f>
        <v>1686690.7744566998</v>
      </c>
      <c r="F682" s="2">
        <f>(F624/F612)*Q64</f>
        <v>0</v>
      </c>
      <c r="G682" s="2">
        <f>(G625/G612)*Q77</f>
        <v>0</v>
      </c>
      <c r="H682" s="2">
        <f>(H628/H612)*Q60</f>
        <v>32399.921312186871</v>
      </c>
      <c r="I682" s="2">
        <f>(I629/I612)*Q78</f>
        <v>100619.99423055821</v>
      </c>
      <c r="J682" s="2">
        <f>(J630/J612)*Q79</f>
        <v>0</v>
      </c>
      <c r="K682" s="2">
        <f>(K644/K612)*Q75</f>
        <v>-8850.3261996955025</v>
      </c>
      <c r="L682" s="2">
        <f>(L647/L612)*Q80</f>
        <v>0</v>
      </c>
      <c r="M682" s="2">
        <f t="shared" si="20"/>
        <v>1413993</v>
      </c>
      <c r="N682" s="329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5">
        <v>7040</v>
      </c>
      <c r="B683" s="329" t="s">
        <v>107</v>
      </c>
      <c r="C683" s="2">
        <f>R71</f>
        <v>236649</v>
      </c>
      <c r="D683" s="2">
        <f>(D615/D612)*R76</f>
        <v>0</v>
      </c>
      <c r="E683" s="2">
        <f>(E623/E612)*SUM(C683:D683)</f>
        <v>213837.70645568997</v>
      </c>
      <c r="F683" s="2">
        <f>(F624/F612)*R64</f>
        <v>0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-40524.080989841903</v>
      </c>
      <c r="L683" s="2">
        <f>(L647/L612)*R80</f>
        <v>0</v>
      </c>
      <c r="M683" s="2">
        <f t="shared" si="20"/>
        <v>173314</v>
      </c>
      <c r="N683" s="329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5">
        <v>7050</v>
      </c>
      <c r="B684" s="329" t="s">
        <v>689</v>
      </c>
      <c r="C684" s="2">
        <f>S71</f>
        <v>7139536</v>
      </c>
      <c r="D684" s="2">
        <f>(D615/D612)*S76</f>
        <v>-679587.70900032809</v>
      </c>
      <c r="E684" s="2">
        <f>(E623/E612)*SUM(C684:D684)</f>
        <v>5837254.864249263</v>
      </c>
      <c r="F684" s="2">
        <f>(F624/F612)*S64</f>
        <v>0</v>
      </c>
      <c r="G684" s="2">
        <f>(G625/G612)*S77</f>
        <v>0</v>
      </c>
      <c r="H684" s="2">
        <f>(H628/H612)*S60</f>
        <v>11999.323957667051</v>
      </c>
      <c r="I684" s="2">
        <f>(I629/I612)*S78</f>
        <v>172299.70598019043</v>
      </c>
      <c r="J684" s="2">
        <f>(J630/J612)*S79</f>
        <v>0</v>
      </c>
      <c r="K684" s="2">
        <f>(K644/K612)*S75</f>
        <v>-20307.731025826062</v>
      </c>
      <c r="L684" s="2">
        <f>(L647/L612)*S80</f>
        <v>0</v>
      </c>
      <c r="M684" s="2">
        <f t="shared" si="20"/>
        <v>5321658</v>
      </c>
      <c r="N684" s="329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5">
        <v>7060</v>
      </c>
      <c r="B685" s="329" t="s">
        <v>691</v>
      </c>
      <c r="C685" s="2">
        <f>T71</f>
        <v>1166.68</v>
      </c>
      <c r="D685" s="2">
        <f>(D615/D612)*T76</f>
        <v>0</v>
      </c>
      <c r="E685" s="2">
        <f>(E623/E612)*SUM(C685:D685)</f>
        <v>1054.2202813775862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1054</v>
      </c>
      <c r="N685" s="329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5">
        <v>7070</v>
      </c>
      <c r="B686" s="329" t="s">
        <v>109</v>
      </c>
      <c r="C686" s="2">
        <f>U71</f>
        <v>2588996</v>
      </c>
      <c r="D686" s="2">
        <f>(D615/D612)*U76</f>
        <v>-450661.23642055283</v>
      </c>
      <c r="E686" s="2">
        <f>(E623/E612)*SUM(C686:D686)</f>
        <v>1932214.3828129384</v>
      </c>
      <c r="F686" s="2">
        <f>(F624/F612)*U64</f>
        <v>0</v>
      </c>
      <c r="G686" s="2">
        <f>(G625/G612)*U77</f>
        <v>0</v>
      </c>
      <c r="H686" s="2">
        <f>(H628/H612)*U60</f>
        <v>32522.185166195126</v>
      </c>
      <c r="I686" s="2">
        <f>(I629/I612)*U78</f>
        <v>114258.6858231317</v>
      </c>
      <c r="J686" s="2">
        <f>(J630/J612)*U79</f>
        <v>336.36782924385153</v>
      </c>
      <c r="K686" s="2">
        <f>(K644/K612)*U75</f>
        <v>-1592.2422517087471</v>
      </c>
      <c r="L686" s="2">
        <f>(L647/L612)*U80</f>
        <v>0</v>
      </c>
      <c r="M686" s="2">
        <f t="shared" si="20"/>
        <v>1627078</v>
      </c>
      <c r="N686" s="329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5">
        <v>7110</v>
      </c>
      <c r="B687" s="329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29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5">
        <v>7120</v>
      </c>
      <c r="B688" s="329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29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5">
        <v>7130</v>
      </c>
      <c r="B689" s="329" t="s">
        <v>698</v>
      </c>
      <c r="C689" s="2">
        <f>X71</f>
        <v>1360116</v>
      </c>
      <c r="D689" s="2">
        <f>(D615/D612)*X76</f>
        <v>-188020.03327235626</v>
      </c>
      <c r="E689" s="2">
        <f>(E623/E612)*SUM(C689:D689)</f>
        <v>1059114.1871337045</v>
      </c>
      <c r="F689" s="2">
        <f>(F624/F612)*X64</f>
        <v>0</v>
      </c>
      <c r="G689" s="2">
        <f>(G625/G612)*X77</f>
        <v>0</v>
      </c>
      <c r="H689" s="2">
        <f>(H628/H612)*X60</f>
        <v>8034.4818348280105</v>
      </c>
      <c r="I689" s="2">
        <f>(I629/I612)*X78</f>
        <v>47669.779812331726</v>
      </c>
      <c r="J689" s="2">
        <f>(J630/J612)*X79</f>
        <v>0</v>
      </c>
      <c r="K689" s="2">
        <f>(K644/K612)*X75</f>
        <v>-12678.94762850316</v>
      </c>
      <c r="L689" s="2">
        <f>(L647/L612)*X80</f>
        <v>0</v>
      </c>
      <c r="M689" s="2">
        <f t="shared" si="20"/>
        <v>914119</v>
      </c>
      <c r="N689" s="329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5">
        <v>7140</v>
      </c>
      <c r="B690" s="329" t="s">
        <v>1249</v>
      </c>
      <c r="C690" s="2">
        <f>Y71</f>
        <v>11285946</v>
      </c>
      <c r="D690" s="2">
        <f>(D615/D612)*Y76</f>
        <v>-1458651.1332784726</v>
      </c>
      <c r="E690" s="2">
        <f>(E623/E612)*SUM(C690:D690)</f>
        <v>8880012.9937735088</v>
      </c>
      <c r="F690" s="2">
        <f>(F624/F612)*Y64</f>
        <v>0</v>
      </c>
      <c r="G690" s="2">
        <f>(G625/G612)*Y77</f>
        <v>0</v>
      </c>
      <c r="H690" s="2">
        <f>(H628/H612)*Y60</f>
        <v>94457.560353804089</v>
      </c>
      <c r="I690" s="2">
        <f>(I629/I612)*Y78</f>
        <v>369820.05127969594</v>
      </c>
      <c r="J690" s="2">
        <f>(J630/J612)*Y79</f>
        <v>12374.290101510051</v>
      </c>
      <c r="K690" s="2">
        <f>(K644/K612)*Y75</f>
        <v>-93938.740780287044</v>
      </c>
      <c r="L690" s="2">
        <f>(L647/L612)*Y80</f>
        <v>0</v>
      </c>
      <c r="M690" s="2">
        <f t="shared" si="20"/>
        <v>7804075</v>
      </c>
      <c r="N690" s="329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5">
        <v>7150</v>
      </c>
      <c r="B691" s="329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29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5">
        <v>7160</v>
      </c>
      <c r="B692" s="329" t="s">
        <v>703</v>
      </c>
      <c r="C692" s="2">
        <f>AA71</f>
        <v>12646</v>
      </c>
      <c r="D692" s="2">
        <f>(D615/D612)*AA76</f>
        <v>0</v>
      </c>
      <c r="E692" s="2">
        <f>(E623/E612)*SUM(C692:D692)</f>
        <v>11427.014844088315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-162.92200393002369</v>
      </c>
      <c r="L692" s="2">
        <f>(L647/L612)*AA80</f>
        <v>0</v>
      </c>
      <c r="M692" s="2">
        <f t="shared" si="20"/>
        <v>11264</v>
      </c>
      <c r="N692" s="329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5">
        <v>7170</v>
      </c>
      <c r="B693" s="329" t="s">
        <v>115</v>
      </c>
      <c r="C693" s="2">
        <f>AB71</f>
        <v>3871421</v>
      </c>
      <c r="D693" s="2">
        <f>(D615/D612)*AB76</f>
        <v>-126459.00646653582</v>
      </c>
      <c r="E693" s="2">
        <f>(E623/E612)*SUM(C693:D693)</f>
        <v>3383974.0859286305</v>
      </c>
      <c r="F693" s="2">
        <f>(F624/F612)*AB64</f>
        <v>0</v>
      </c>
      <c r="G693" s="2">
        <f>(G625/G612)*AB77</f>
        <v>0</v>
      </c>
      <c r="H693" s="2">
        <f>(H628/H612)*AB60</f>
        <v>139.73011886657412</v>
      </c>
      <c r="I693" s="2">
        <f>(I629/I612)*AB78</f>
        <v>32061.865369493615</v>
      </c>
      <c r="J693" s="2">
        <f>(J630/J612)*AB79</f>
        <v>0</v>
      </c>
      <c r="K693" s="2">
        <f>(K644/K612)*AB75</f>
        <v>-11944.003895011214</v>
      </c>
      <c r="L693" s="2">
        <f>(L647/L612)*AB80</f>
        <v>0</v>
      </c>
      <c r="M693" s="2">
        <f t="shared" si="20"/>
        <v>3277773</v>
      </c>
      <c r="N693" s="329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5">
        <v>7180</v>
      </c>
      <c r="B694" s="329" t="s">
        <v>706</v>
      </c>
      <c r="C694" s="2">
        <f>AC71</f>
        <v>96672</v>
      </c>
      <c r="D694" s="2">
        <f>(D615/D612)*AC76</f>
        <v>0</v>
      </c>
      <c r="E694" s="2">
        <f>(E623/E612)*SUM(C694:D694)</f>
        <v>87353.5014239843</v>
      </c>
      <c r="F694" s="2">
        <f>(F624/F612)*AC64</f>
        <v>0</v>
      </c>
      <c r="G694" s="2">
        <f>(G625/G612)*AC77</f>
        <v>0</v>
      </c>
      <c r="H694" s="2">
        <f>(H628/H612)*AC60</f>
        <v>1117.8409509325929</v>
      </c>
      <c r="I694" s="2">
        <f>(I629/I612)*AC78</f>
        <v>0</v>
      </c>
      <c r="J694" s="2">
        <f>(J630/J612)*AC79</f>
        <v>0</v>
      </c>
      <c r="K694" s="2">
        <f>(K644/K612)*AC75</f>
        <v>-1.2495207197962579</v>
      </c>
      <c r="L694" s="2">
        <f>(L647/L612)*AC80</f>
        <v>0</v>
      </c>
      <c r="M694" s="2">
        <f t="shared" si="20"/>
        <v>88470</v>
      </c>
      <c r="N694" s="329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5">
        <v>7190</v>
      </c>
      <c r="B695" s="329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29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5">
        <v>7200</v>
      </c>
      <c r="B696" s="329" t="s">
        <v>709</v>
      </c>
      <c r="C696" s="2">
        <f>AE71</f>
        <v>2988571</v>
      </c>
      <c r="D696" s="2">
        <f>(D615/D612)*AE76</f>
        <v>-256024.83110831864</v>
      </c>
      <c r="E696" s="2">
        <f>(E623/E612)*SUM(C696:D696)</f>
        <v>2469148.0020624623</v>
      </c>
      <c r="F696" s="2">
        <f>(F624/F612)*AE64</f>
        <v>0</v>
      </c>
      <c r="G696" s="2">
        <f>(G625/G612)*AE77</f>
        <v>0</v>
      </c>
      <c r="H696" s="2">
        <f>(H628/H612)*AE60</f>
        <v>45988.675371961195</v>
      </c>
      <c r="I696" s="2">
        <f>(I629/I612)*AE78</f>
        <v>64911.419879093075</v>
      </c>
      <c r="J696" s="2">
        <f>(J630/J612)*AE79</f>
        <v>2852.0974553010778</v>
      </c>
      <c r="K696" s="2">
        <f>(K644/K612)*AE75</f>
        <v>-8154.8385390765043</v>
      </c>
      <c r="L696" s="2">
        <f>(L647/L612)*AE80</f>
        <v>0</v>
      </c>
      <c r="M696" s="2">
        <f t="shared" si="20"/>
        <v>2318721</v>
      </c>
      <c r="N696" s="329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5">
        <v>7220</v>
      </c>
      <c r="B697" s="329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29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5">
        <v>7230</v>
      </c>
      <c r="B698" s="329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>
        <f>(F624/F612)*AG64</f>
        <v>0</v>
      </c>
      <c r="G698" s="2">
        <f>(G625/G612)*AG77</f>
        <v>0</v>
      </c>
      <c r="H698" s="2">
        <f>(H628/H612)*AG60</f>
        <v>0</v>
      </c>
      <c r="I698" s="2">
        <f>(I629/I612)*AG78</f>
        <v>0</v>
      </c>
      <c r="J698" s="2">
        <f>(J630/J612)*AG79</f>
        <v>0</v>
      </c>
      <c r="K698" s="2">
        <f>(K644/K612)*AG75</f>
        <v>0</v>
      </c>
      <c r="L698" s="2">
        <f>(L647/L612)*AG80</f>
        <v>0</v>
      </c>
      <c r="M698" s="2">
        <f t="shared" si="20"/>
        <v>0</v>
      </c>
      <c r="N698" s="329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5">
        <v>7240</v>
      </c>
      <c r="B699" s="329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29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5">
        <v>7250</v>
      </c>
      <c r="B700" s="329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29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5">
        <v>7260</v>
      </c>
      <c r="B701" s="329" t="s">
        <v>121</v>
      </c>
      <c r="C701" s="2">
        <f>AJ71</f>
        <v>33539386</v>
      </c>
      <c r="D701" s="2">
        <f>(D615/D612)*AJ76</f>
        <v>-4993634.8800104531</v>
      </c>
      <c r="E701" s="2">
        <f>(E623/E612)*SUM(C701:D701)</f>
        <v>25794142.162246656</v>
      </c>
      <c r="F701" s="2">
        <f>(F624/F612)*AJ64</f>
        <v>0</v>
      </c>
      <c r="G701" s="2">
        <f>(G625/G612)*AJ77</f>
        <v>0</v>
      </c>
      <c r="H701" s="2">
        <f>(H628/H612)*AJ60</f>
        <v>416308.42289809923</v>
      </c>
      <c r="I701" s="2">
        <f>(I629/I612)*AJ78</f>
        <v>1266064.4243608727</v>
      </c>
      <c r="J701" s="2">
        <f>(J630/J612)*AJ79</f>
        <v>3892.4032595068329</v>
      </c>
      <c r="K701" s="2">
        <f>(K644/K612)*AJ75</f>
        <v>-191036.01533134587</v>
      </c>
      <c r="L701" s="2">
        <f>(L647/L612)*AJ80</f>
        <v>0</v>
      </c>
      <c r="M701" s="2">
        <f t="shared" si="20"/>
        <v>22295737</v>
      </c>
      <c r="N701" s="329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5">
        <v>7310</v>
      </c>
      <c r="B702" s="329" t="s">
        <v>719</v>
      </c>
      <c r="C702" s="2">
        <f>AK71</f>
        <v>1781008</v>
      </c>
      <c r="D702" s="2">
        <f>(D615/D612)*AK76</f>
        <v>0</v>
      </c>
      <c r="E702" s="2">
        <f>(E623/E612)*SUM(C702:D702)</f>
        <v>1609331.3975517983</v>
      </c>
      <c r="F702" s="2">
        <f>(F624/F612)*AK64</f>
        <v>0</v>
      </c>
      <c r="G702" s="2">
        <f>(G625/G612)*AK77</f>
        <v>0</v>
      </c>
      <c r="H702" s="2">
        <f>(H628/H612)*AK60</f>
        <v>26112.065963191035</v>
      </c>
      <c r="I702" s="2">
        <f>(I629/I612)*AK78</f>
        <v>0</v>
      </c>
      <c r="J702" s="2">
        <f>(J630/J612)*AK79</f>
        <v>0</v>
      </c>
      <c r="K702" s="2">
        <f>(K644/K612)*AK75</f>
        <v>-5647.7796874679316</v>
      </c>
      <c r="L702" s="2">
        <f>(L647/L612)*AK80</f>
        <v>0</v>
      </c>
      <c r="M702" s="2">
        <f t="shared" si="20"/>
        <v>1629796</v>
      </c>
      <c r="N702" s="329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5">
        <v>7320</v>
      </c>
      <c r="B703" s="329" t="s">
        <v>721</v>
      </c>
      <c r="C703" s="2">
        <f>AL71</f>
        <v>125413</v>
      </c>
      <c r="D703" s="2">
        <f>(D615/D612)*AL76</f>
        <v>0</v>
      </c>
      <c r="E703" s="2">
        <f>(E623/E612)*SUM(C703:D703)</f>
        <v>113324.0718520993</v>
      </c>
      <c r="F703" s="2">
        <f>(F624/F612)*AL64</f>
        <v>0</v>
      </c>
      <c r="G703" s="2">
        <f>(G625/G612)*AL77</f>
        <v>0</v>
      </c>
      <c r="H703" s="2">
        <f>(H628/H612)*AL60</f>
        <v>1886.3566046987505</v>
      </c>
      <c r="I703" s="2">
        <f>(I629/I612)*AL78</f>
        <v>0</v>
      </c>
      <c r="J703" s="2">
        <f>(J630/J612)*AL79</f>
        <v>0</v>
      </c>
      <c r="K703" s="2">
        <f>(K644/K612)*AL75</f>
        <v>-758.3303887358843</v>
      </c>
      <c r="L703" s="2">
        <f>(L647/L612)*AL80</f>
        <v>0</v>
      </c>
      <c r="M703" s="2">
        <f t="shared" si="20"/>
        <v>114452</v>
      </c>
      <c r="N703" s="329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5">
        <v>7330</v>
      </c>
      <c r="B704" s="329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29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5">
        <v>7340</v>
      </c>
      <c r="B705" s="329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29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5">
        <v>7350</v>
      </c>
      <c r="B706" s="329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29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5">
        <v>7380</v>
      </c>
      <c r="B707" s="329" t="s">
        <v>729</v>
      </c>
      <c r="C707" s="2">
        <f>AP71</f>
        <v>69086558</v>
      </c>
      <c r="D707" s="2">
        <f>(D615/D612)*AP76</f>
        <v>-5593768.5908623347</v>
      </c>
      <c r="E707" s="2">
        <f>(E623/E612)*SUM(C707:D707)</f>
        <v>57372532.585069545</v>
      </c>
      <c r="F707" s="2">
        <f>(F624/F612)*AP64</f>
        <v>0</v>
      </c>
      <c r="G707" s="2">
        <f>(G625/G612)*AP77</f>
        <v>0</v>
      </c>
      <c r="H707" s="2">
        <f>(H628/H612)*AP60</f>
        <v>1002703.3329865359</v>
      </c>
      <c r="I707" s="2">
        <f>(I629/I612)*AP78</f>
        <v>1418219.7099246525</v>
      </c>
      <c r="J707" s="2">
        <f>(J630/J612)*AP79</f>
        <v>25130.208535281472</v>
      </c>
      <c r="K707" s="2">
        <f>(K644/K612)*AP75</f>
        <v>-253303.49759543836</v>
      </c>
      <c r="L707" s="2">
        <f>(L647/L612)*AP80</f>
        <v>0</v>
      </c>
      <c r="M707" s="2">
        <f t="shared" si="20"/>
        <v>53971514</v>
      </c>
      <c r="N707" s="329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5">
        <v>7390</v>
      </c>
      <c r="B708" s="329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29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5">
        <v>7400</v>
      </c>
      <c r="B709" s="329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29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5">
        <v>7410</v>
      </c>
      <c r="B710" s="329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29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5">
        <v>7420</v>
      </c>
      <c r="B711" s="329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29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5">
        <v>7430</v>
      </c>
      <c r="B712" s="329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29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5">
        <v>7490</v>
      </c>
      <c r="B713" s="329" t="s">
        <v>740</v>
      </c>
      <c r="C713" s="2">
        <f>AV71</f>
        <v>5276978</v>
      </c>
      <c r="D713" s="2">
        <f>(D615/D612)*AV76</f>
        <v>0</v>
      </c>
      <c r="E713" s="2">
        <f>(E623/E612)*SUM(C713:D713)</f>
        <v>4768314.5609621592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-5326.1090511371258</v>
      </c>
      <c r="L713" s="2">
        <f>(L647/L612)*AV80</f>
        <v>0</v>
      </c>
      <c r="M713" s="2">
        <f t="shared" si="20"/>
        <v>4762988</v>
      </c>
      <c r="N713" s="321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271421370.68000001</v>
      </c>
      <c r="D715" s="2">
        <f>SUM(D616:D647)+SUM(D668:D713)</f>
        <v>-20694746</v>
      </c>
      <c r="E715" s="2">
        <f>SUM(E624:E647)+SUM(E668:E713)</f>
        <v>128838703.91185386</v>
      </c>
      <c r="F715" s="2">
        <f>SUM(F625:F648)+SUM(F668:F713)</f>
        <v>0</v>
      </c>
      <c r="G715" s="2">
        <f>SUM(G626:G647)+SUM(G668:G713)</f>
        <v>0</v>
      </c>
      <c r="H715" s="2">
        <f>SUM(H629:H647)+SUM(H668:H713)</f>
        <v>1891107.4287402141</v>
      </c>
      <c r="I715" s="2">
        <f>SUM(I630:I647)+SUM(I668:I713)</f>
        <v>4468925.162718676</v>
      </c>
      <c r="J715" s="2">
        <f>SUM(J631:J647)+SUM(J668:J713)</f>
        <v>118609.94851379524</v>
      </c>
      <c r="K715" s="2">
        <f>SUM(K668:K713)</f>
        <v>-771912.56687681563</v>
      </c>
      <c r="L715" s="2">
        <f>SUM(L668:L713)</f>
        <v>0</v>
      </c>
      <c r="M715" s="2">
        <f>SUM(M668:M713)</f>
        <v>115236646</v>
      </c>
      <c r="N715" s="329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271421370.68000001</v>
      </c>
      <c r="D716" s="2">
        <f>D615</f>
        <v>-20694746</v>
      </c>
      <c r="E716" s="2">
        <f>E623</f>
        <v>128838703.91185385</v>
      </c>
      <c r="F716" s="2">
        <f>F624</f>
        <v>0</v>
      </c>
      <c r="G716" s="2">
        <f>G625</f>
        <v>0</v>
      </c>
      <c r="H716" s="2">
        <f>H628</f>
        <v>1891107.4287402136</v>
      </c>
      <c r="I716" s="2">
        <f>I629</f>
        <v>4468925.162718676</v>
      </c>
      <c r="J716" s="2">
        <f>J630</f>
        <v>118609.94851379524</v>
      </c>
      <c r="K716" s="2">
        <f>K644</f>
        <v>-771912.56687681575</v>
      </c>
      <c r="L716" s="2">
        <f>L647</f>
        <v>0</v>
      </c>
      <c r="M716" s="2">
        <f>C648</f>
        <v>115236646</v>
      </c>
      <c r="N716" s="329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3" t="str">
        <f>RIGHT(C84,3)&amp;"*"&amp;RIGHT(C83,4)&amp;"*"&amp;"A"</f>
        <v>tal*205*A</v>
      </c>
      <c r="B721" s="281">
        <f>ROUND(C166,0)</f>
        <v>73093</v>
      </c>
      <c r="C721" s="281">
        <f>ROUND(C167,0)</f>
        <v>771076</v>
      </c>
      <c r="D721" s="281">
        <f>ROUND(C168,0)</f>
        <v>12897738</v>
      </c>
      <c r="E721" s="281">
        <f>ROUND(C169,0)</f>
        <v>190481</v>
      </c>
      <c r="F721" s="281">
        <f>ROUND(C170,0)</f>
        <v>3320632</v>
      </c>
      <c r="G721" s="281">
        <f>ROUND(C171,0)</f>
        <v>612122</v>
      </c>
      <c r="H721" s="281">
        <f>ROUND(C172+C173,0)</f>
        <v>0</v>
      </c>
      <c r="I721" s="281">
        <f>ROUND(C176,0)</f>
        <v>32898</v>
      </c>
      <c r="J721" s="281">
        <f>ROUND(C177,0)</f>
        <v>0</v>
      </c>
      <c r="K721" s="281">
        <f>ROUND(C180,0)</f>
        <v>320025</v>
      </c>
      <c r="L721" s="281">
        <f>ROUND(C181,0)</f>
        <v>0</v>
      </c>
      <c r="M721" s="281">
        <f>ROUND(C184,0)</f>
        <v>2845043</v>
      </c>
      <c r="N721" s="281">
        <f>ROUND(C185,0)</f>
        <v>0</v>
      </c>
      <c r="O721" s="281">
        <f>ROUND(C186,0)</f>
        <v>0</v>
      </c>
      <c r="P721" s="281">
        <f>ROUND(C189,0)</f>
        <v>0</v>
      </c>
      <c r="Q721" s="281">
        <f>ROUND(C190,0)</f>
        <v>0</v>
      </c>
      <c r="R721" s="281">
        <f>ROUND(B196,0)</f>
        <v>326019</v>
      </c>
      <c r="S721" s="281">
        <f>ROUND(C196,0)</f>
        <v>0</v>
      </c>
      <c r="T721" s="281">
        <f>ROUND(D196,0)</f>
        <v>196650</v>
      </c>
      <c r="U721" s="281">
        <f>ROUND(B197,0)</f>
        <v>347681</v>
      </c>
      <c r="V721" s="281">
        <f>ROUND(C197,0)</f>
        <v>0</v>
      </c>
      <c r="W721" s="281">
        <f>ROUND(D197,0)</f>
        <v>60301</v>
      </c>
      <c r="X721" s="281">
        <f>ROUND(B198,0)</f>
        <v>3161788</v>
      </c>
      <c r="Y721" s="281">
        <f>ROUND(C198,0)</f>
        <v>1634500</v>
      </c>
      <c r="Z721" s="281">
        <f>ROUND(D198,0)</f>
        <v>1578852</v>
      </c>
      <c r="AA721" s="281">
        <f>ROUND(B199,0)</f>
        <v>4007180</v>
      </c>
      <c r="AB721" s="281">
        <f>ROUND(C199,0)</f>
        <v>599792</v>
      </c>
      <c r="AC721" s="281">
        <f>ROUND(D199,0)</f>
        <v>170516</v>
      </c>
      <c r="AD721" s="281">
        <f>ROUND(B200,0)</f>
        <v>18630948</v>
      </c>
      <c r="AE721" s="281">
        <f>ROUND(C200,0)</f>
        <v>871023</v>
      </c>
      <c r="AF721" s="281">
        <f>ROUND(D200,0)</f>
        <v>2221681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1909265</v>
      </c>
      <c r="AN721" s="281">
        <f>ROUND(C203,0)</f>
        <v>4654278</v>
      </c>
      <c r="AO721" s="281">
        <f>ROUND(D203,0)</f>
        <v>0</v>
      </c>
      <c r="AP721" s="281">
        <f>ROUND(B204,0)</f>
        <v>28505967</v>
      </c>
      <c r="AQ721" s="281">
        <f>ROUND(C204,0)</f>
        <v>7759593</v>
      </c>
      <c r="AR721" s="281">
        <f>ROUND(D204,0)</f>
        <v>4228000</v>
      </c>
      <c r="AS721" s="281"/>
      <c r="AT721" s="281"/>
      <c r="AU721" s="281"/>
      <c r="AV721" s="281">
        <f>ROUND(B210,0)</f>
        <v>128181</v>
      </c>
      <c r="AW721" s="281">
        <f>ROUND(C210,0)</f>
        <v>6000</v>
      </c>
      <c r="AX721" s="281">
        <f>ROUND(D210,0)</f>
        <v>60300</v>
      </c>
      <c r="AY721" s="281">
        <f>ROUND(B211,0)</f>
        <v>363822</v>
      </c>
      <c r="AZ721" s="281">
        <f>ROUND(C211,0)</f>
        <v>310539</v>
      </c>
      <c r="BA721" s="281">
        <f>ROUND(D211,0)</f>
        <v>38198</v>
      </c>
      <c r="BB721" s="281">
        <f>ROUND(B212,0)</f>
        <v>1525082</v>
      </c>
      <c r="BC721" s="281">
        <f>ROUND(C212,0)</f>
        <v>486944</v>
      </c>
      <c r="BD721" s="281">
        <f>ROUND(D212,0)</f>
        <v>170517</v>
      </c>
      <c r="BE721" s="281">
        <f>ROUND(B213,0)</f>
        <v>8885532</v>
      </c>
      <c r="BF721" s="281">
        <f>ROUND(C213,0)</f>
        <v>1926071</v>
      </c>
      <c r="BG721" s="281">
        <f>ROUND(D213,0)</f>
        <v>408181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11107828</v>
      </c>
      <c r="BR721" s="281">
        <f>ROUND(C217,0)</f>
        <v>2741562</v>
      </c>
      <c r="BS721" s="281">
        <f>ROUND(D217,0)</f>
        <v>873846</v>
      </c>
      <c r="BT721" s="281">
        <f>ROUND(C222,0)</f>
        <v>0</v>
      </c>
      <c r="BU721" s="281">
        <f>ROUND(C223,0)</f>
        <v>156284955</v>
      </c>
      <c r="BV721" s="281">
        <f>ROUND(C224,0)</f>
        <v>67744280</v>
      </c>
      <c r="BW721" s="281">
        <f>ROUND(C225,0)</f>
        <v>5987373</v>
      </c>
      <c r="BX721" s="281">
        <f>ROUND(C226,0)</f>
        <v>289828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1246420</v>
      </c>
      <c r="CC721" s="281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3" t="str">
        <f>RIGHT(C84,3)&amp;"*"&amp;RIGHT(C83,4)&amp;"*"&amp;"A"</f>
        <v>tal*205*A</v>
      </c>
      <c r="B725" s="281">
        <f>ROUND(C112,0)</f>
        <v>0</v>
      </c>
      <c r="C725" s="281">
        <f>ROUND(C113,0)</f>
        <v>0</v>
      </c>
      <c r="D725" s="281">
        <f>ROUND(C114,0)</f>
        <v>0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0</v>
      </c>
      <c r="I725" s="281">
        <f>ROUND(D115,0)</f>
        <v>0</v>
      </c>
      <c r="J725" s="281">
        <f>ROUND(C117,0)</f>
        <v>0</v>
      </c>
      <c r="K725" s="281">
        <f>ROUND(C118,0)</f>
        <v>11</v>
      </c>
      <c r="L725" s="281">
        <f>ROUND(C119,0)</f>
        <v>0</v>
      </c>
      <c r="M725" s="281">
        <f>ROUND(C120,0)</f>
        <v>0</v>
      </c>
      <c r="N725" s="281">
        <f>ROUND(C121,0)</f>
        <v>9</v>
      </c>
      <c r="O725" s="281">
        <f>ROUND(C122,0)</f>
        <v>0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1466</v>
      </c>
      <c r="Y725" s="281">
        <f>ROUND(B140,0)</f>
        <v>0</v>
      </c>
      <c r="Z725" s="281">
        <f>ROUND(B141,0)</f>
        <v>14742748</v>
      </c>
      <c r="AA725" s="281">
        <f>ROUND(B142,0)</f>
        <v>239413892</v>
      </c>
      <c r="AB725" s="281">
        <f>ROUND(B143,0)</f>
        <v>0</v>
      </c>
      <c r="AC725" s="281">
        <f>ROUND(C139,0)</f>
        <v>270</v>
      </c>
      <c r="AD725" s="281">
        <f>ROUND(C140,0)</f>
        <v>0</v>
      </c>
      <c r="AE725" s="281">
        <f>ROUND(C141,0)</f>
        <v>2061783</v>
      </c>
      <c r="AF725" s="281">
        <f>ROUND(C142,0)</f>
        <v>89907985</v>
      </c>
      <c r="AG725" s="281">
        <f>ROUND(C143,0)</f>
        <v>0</v>
      </c>
      <c r="AH725" s="281">
        <f>ROUND(D139,0)</f>
        <v>569</v>
      </c>
      <c r="AI725" s="281">
        <f>ROUND(D140,0)</f>
        <v>0</v>
      </c>
      <c r="AJ725" s="281">
        <f>ROUND(D141,0)</f>
        <v>6062440</v>
      </c>
      <c r="AK725" s="281">
        <f>ROUND(D142,0)</f>
        <v>205654682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3" t="str">
        <f>RIGHT(C84,3)&amp;"*"&amp;RIGHT(C83,4)&amp;"*"&amp;"A"</f>
        <v>tal*205*A</v>
      </c>
      <c r="B729" s="281">
        <f>ROUND(C249,0)</f>
        <v>0</v>
      </c>
      <c r="C729" s="281">
        <f>ROUND(C250,0)</f>
        <v>4799149</v>
      </c>
      <c r="D729" s="281">
        <f>ROUND(C251,0)</f>
        <v>0</v>
      </c>
      <c r="E729" s="281">
        <f>ROUND(C252,0)</f>
        <v>33778140</v>
      </c>
      <c r="F729" s="281">
        <f>ROUND(C253,0)</f>
        <v>0</v>
      </c>
      <c r="G729" s="281">
        <f>ROUND(C254,0)</f>
        <v>0</v>
      </c>
      <c r="H729" s="281">
        <f>ROUND(C255,0)</f>
        <v>11004894</v>
      </c>
      <c r="I729" s="281">
        <f>ROUND(C256,0)</f>
        <v>0</v>
      </c>
      <c r="J729" s="281">
        <f>ROUND(C257,0)</f>
        <v>724577</v>
      </c>
      <c r="K729" s="281">
        <f>ROUND(C258,0)</f>
        <v>1552959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123086</v>
      </c>
      <c r="Q729" s="281">
        <f>ROUND(C268,0)</f>
        <v>129369</v>
      </c>
      <c r="R729" s="281">
        <f>ROUND(C269,0)</f>
        <v>287380</v>
      </c>
      <c r="S729" s="281">
        <f>ROUND(C270,0)</f>
        <v>3217436</v>
      </c>
      <c r="T729" s="281">
        <f>ROUND(C271,0)</f>
        <v>4436456</v>
      </c>
      <c r="U729" s="281">
        <f>ROUND(C272,0)</f>
        <v>17280290</v>
      </c>
      <c r="V729" s="281">
        <f>ROUND(C273,0)</f>
        <v>0</v>
      </c>
      <c r="W729" s="281">
        <f>ROUND(C274,0)</f>
        <v>6563543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18871682</v>
      </c>
      <c r="AI729" s="281">
        <f>ROUND(C305,0)</f>
        <v>34602817</v>
      </c>
      <c r="AJ729" s="281">
        <f>ROUND(C306,0)</f>
        <v>7596060</v>
      </c>
      <c r="AK729" s="281">
        <f>ROUND(C307,0)</f>
        <v>987220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3644244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0</v>
      </c>
      <c r="AY729" s="281">
        <f>ROUND(C325,0)</f>
        <v>0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1125.8800000000001</v>
      </c>
      <c r="BJ729" s="281">
        <f>ROUND(C358,0)</f>
        <v>0</v>
      </c>
      <c r="BK729" s="281">
        <f>ROUND(C359,0)</f>
        <v>22866970</v>
      </c>
      <c r="BL729" s="281">
        <f>ROUND(C362,0)</f>
        <v>0</v>
      </c>
      <c r="BM729" s="281">
        <f>ROUND(C363,0)</f>
        <v>4510582</v>
      </c>
      <c r="BN729" s="281">
        <f>ROUND(C364,0)</f>
        <v>275952910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74796766</v>
      </c>
      <c r="BT729" s="281">
        <f>ROUND(C379,0)</f>
        <v>23191895</v>
      </c>
      <c r="BU729" s="281">
        <f>ROUND(C380,0)</f>
        <v>123923475</v>
      </c>
      <c r="BV729" s="281">
        <f>ROUND(C381,0)</f>
        <v>33373332</v>
      </c>
      <c r="BW729" s="281">
        <f>ROUND(C382,0)</f>
        <v>1234989</v>
      </c>
      <c r="BX729" s="281">
        <f>ROUND(C383,0)</f>
        <v>15801022</v>
      </c>
      <c r="BY729" s="281">
        <f>ROUND(C384,0)</f>
        <v>2674255</v>
      </c>
      <c r="BZ729" s="281">
        <f>ROUND(C385,0)</f>
        <v>8614713</v>
      </c>
      <c r="CA729" s="281">
        <f>ROUND(C386,0)</f>
        <v>3774598</v>
      </c>
      <c r="CB729" s="281">
        <f>ROUND(C387,0)</f>
        <v>2471064</v>
      </c>
      <c r="CC729" s="281">
        <f>ROUND(C388,0)</f>
        <v>1318872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tal*205*6010*A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tal*205*6030*A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1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tal*205*6070*A</v>
      </c>
      <c r="B735" s="281">
        <f>ROUND(E59,0)</f>
        <v>665</v>
      </c>
      <c r="C735" s="284">
        <f>ROUND(E60,2)</f>
        <v>14.48</v>
      </c>
      <c r="D735" s="281">
        <f>ROUND(E61,0)</f>
        <v>1045191</v>
      </c>
      <c r="E735" s="281">
        <f>ROUND(E62,0)</f>
        <v>326830</v>
      </c>
      <c r="F735" s="281">
        <f>ROUND(E63,0)</f>
        <v>661</v>
      </c>
      <c r="G735" s="281">
        <f>ROUND(E64,0)</f>
        <v>153906</v>
      </c>
      <c r="H735" s="281">
        <f>ROUND(E65,0)</f>
        <v>7923</v>
      </c>
      <c r="I735" s="281">
        <f>ROUND(E66,0)</f>
        <v>29929</v>
      </c>
      <c r="J735" s="281">
        <f>ROUND(E67,0)</f>
        <v>24311</v>
      </c>
      <c r="K735" s="281">
        <f>ROUND(E68,0)</f>
        <v>170461</v>
      </c>
      <c r="L735" s="281">
        <f>ROUND(E70,0)</f>
        <v>0</v>
      </c>
      <c r="M735" s="281">
        <f>ROUND(E71,0)</f>
        <v>1765574</v>
      </c>
      <c r="N735" s="281">
        <f>ROUND(E76,0)</f>
        <v>6867</v>
      </c>
      <c r="O735" s="281">
        <f>ROUND(E74,0)</f>
        <v>1335164</v>
      </c>
      <c r="P735" s="281">
        <f>IF(E77&gt;0,ROUND(E77,0),0)</f>
        <v>1995</v>
      </c>
      <c r="Q735" s="281">
        <f>IF(E78&gt;0,ROUND(E78,0),0)</f>
        <v>6867</v>
      </c>
      <c r="R735" s="281">
        <f>IF(E79&gt;0,ROUND(E79,0),0)</f>
        <v>68417</v>
      </c>
      <c r="S735" s="281">
        <f>IF(E80&gt;0,ROUND(E80,0),0)</f>
        <v>11</v>
      </c>
      <c r="T735" s="284">
        <f>IF(E81&gt;0,ROUND(E81,2),0)</f>
        <v>0</v>
      </c>
      <c r="U735" s="281"/>
      <c r="X735" s="281"/>
      <c r="Y735" s="281"/>
      <c r="Z735" s="281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tal*205*6100*A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1"/>
        <v>987464</v>
      </c>
    </row>
    <row r="737" spans="1:26" ht="12.65" customHeight="1" x14ac:dyDescent="0.35">
      <c r="A737" s="209" t="str">
        <f>RIGHT($C$84,3)&amp;"*"&amp;RIGHT($C$83,4)&amp;"*"&amp;G$55&amp;"*"&amp;"A"</f>
        <v>tal*205*6120*A</v>
      </c>
      <c r="B737" s="281">
        <f>ROUND(G59,0)</f>
        <v>1640</v>
      </c>
      <c r="C737" s="284">
        <f>ROUND(G60,2)</f>
        <v>24.62</v>
      </c>
      <c r="D737" s="281">
        <f>ROUND(G61,0)</f>
        <v>1789464</v>
      </c>
      <c r="E737" s="281">
        <f>ROUND(G62,0)</f>
        <v>556296</v>
      </c>
      <c r="F737" s="281">
        <f>ROUND(G63,0)</f>
        <v>0</v>
      </c>
      <c r="G737" s="281">
        <f>ROUND(G64,0)</f>
        <v>25535</v>
      </c>
      <c r="H737" s="281">
        <f>ROUND(G65,0)</f>
        <v>11937</v>
      </c>
      <c r="I737" s="281">
        <f>ROUND(G66,0)</f>
        <v>40595</v>
      </c>
      <c r="J737" s="281">
        <f>ROUND(G67,0)</f>
        <v>0</v>
      </c>
      <c r="K737" s="281">
        <f>ROUND(G68,0)</f>
        <v>169055</v>
      </c>
      <c r="L737" s="281">
        <f>ROUND(G70,0)</f>
        <v>0</v>
      </c>
      <c r="M737" s="281">
        <f>ROUND(G71,0)</f>
        <v>2616447</v>
      </c>
      <c r="N737" s="281">
        <f>ROUND(G76,0)</f>
        <v>4895</v>
      </c>
      <c r="O737" s="281">
        <f>ROUND(G74,0)</f>
        <v>80819</v>
      </c>
      <c r="P737" s="281">
        <f>IF(G77&gt;0,ROUND(G77,0),0)</f>
        <v>4920</v>
      </c>
      <c r="Q737" s="281">
        <f>IF(G78&gt;0,ROUND(G78,0),0)</f>
        <v>4895</v>
      </c>
      <c r="R737" s="281">
        <f>IF(G79&gt;0,ROUND(G79,0),0)</f>
        <v>1968</v>
      </c>
      <c r="S737" s="281">
        <f>IF(G80&gt;0,ROUND(G80,0),0)</f>
        <v>15</v>
      </c>
      <c r="T737" s="284">
        <f>IF(G81&gt;0,ROUND(G81,2),0)</f>
        <v>0</v>
      </c>
      <c r="U737" s="281"/>
      <c r="X737" s="281"/>
      <c r="Y737" s="281"/>
      <c r="Z737" s="281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tal*205*6140*A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>
        <f t="shared" si="21"/>
        <v>1936612</v>
      </c>
    </row>
    <row r="739" spans="1:26" ht="12.65" customHeight="1" x14ac:dyDescent="0.35">
      <c r="A739" s="209" t="str">
        <f>RIGHT($C$84,3)&amp;"*"&amp;RIGHT($C$83,4)&amp;"*"&amp;I$55&amp;"*"&amp;"A"</f>
        <v>tal*205*6150*A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tal*205*6170*A</v>
      </c>
      <c r="B740" s="281">
        <f>ROUND(J59,0)</f>
        <v>0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0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tal*205*6200*A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tal*205*6210*A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tal*205*6330*A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tal*205*6400*A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tal*205*7010*A</v>
      </c>
      <c r="B745" s="281">
        <f>ROUND(O59,0)</f>
        <v>0</v>
      </c>
      <c r="C745" s="284">
        <f>ROUND(O60,2)</f>
        <v>0</v>
      </c>
      <c r="D745" s="281">
        <f>ROUND(O61,0)</f>
        <v>0</v>
      </c>
      <c r="E745" s="281">
        <f>ROUND(O62,0)</f>
        <v>0</v>
      </c>
      <c r="F745" s="281">
        <f>ROUND(O63,0)</f>
        <v>0</v>
      </c>
      <c r="G745" s="281">
        <f>ROUND(O64,0)</f>
        <v>0</v>
      </c>
      <c r="H745" s="281">
        <f>ROUND(O65,0)</f>
        <v>0</v>
      </c>
      <c r="I745" s="281">
        <f>ROUND(O66,0)</f>
        <v>0</v>
      </c>
      <c r="J745" s="281">
        <f>ROUND(O67,0)</f>
        <v>0</v>
      </c>
      <c r="K745" s="281">
        <f>ROUND(O68,0)</f>
        <v>0</v>
      </c>
      <c r="L745" s="281">
        <f>ROUND(O70,0)</f>
        <v>0</v>
      </c>
      <c r="M745" s="281">
        <f>ROUND(O71,0)</f>
        <v>0</v>
      </c>
      <c r="N745" s="281">
        <f>ROUND(O76,0)</f>
        <v>0</v>
      </c>
      <c r="O745" s="281">
        <f>ROUND(O74,0)</f>
        <v>0</v>
      </c>
      <c r="P745" s="281">
        <f>IF(O77&gt;0,ROUND(O77,0),0)</f>
        <v>0</v>
      </c>
      <c r="Q745" s="281">
        <f>IF(O78&gt;0,ROUND(O78,0),0)</f>
        <v>0</v>
      </c>
      <c r="R745" s="281">
        <f>IF(O79&gt;0,ROUND(O79,0),0)</f>
        <v>0</v>
      </c>
      <c r="S745" s="281">
        <f>IF(O80&gt;0,ROUND(O80,0),0)</f>
        <v>0</v>
      </c>
      <c r="T745" s="284">
        <f>IF(O81&gt;0,ROUND(O81,2),0)</f>
        <v>0</v>
      </c>
      <c r="U745" s="281"/>
      <c r="X745" s="281"/>
      <c r="Y745" s="281"/>
      <c r="Z745" s="281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tal*205*7020*A</v>
      </c>
      <c r="B746" s="281">
        <f>ROUND(P59,0)</f>
        <v>375935</v>
      </c>
      <c r="C746" s="284">
        <f>ROUND(P60,2)</f>
        <v>53.23</v>
      </c>
      <c r="D746" s="281">
        <f>ROUND(P61,0)</f>
        <v>4095283</v>
      </c>
      <c r="E746" s="281">
        <f>ROUND(P62,0)</f>
        <v>1185926</v>
      </c>
      <c r="F746" s="281">
        <f>ROUND(P63,0)</f>
        <v>126009</v>
      </c>
      <c r="G746" s="281">
        <f>ROUND(P64,0)</f>
        <v>3311823</v>
      </c>
      <c r="H746" s="281">
        <f>ROUND(P65,0)</f>
        <v>36831</v>
      </c>
      <c r="I746" s="281">
        <f>ROUND(P66,0)</f>
        <v>376380</v>
      </c>
      <c r="J746" s="281">
        <f>ROUND(P67,0)</f>
        <v>322495</v>
      </c>
      <c r="K746" s="281">
        <f>ROUND(P68,0)</f>
        <v>491593</v>
      </c>
      <c r="L746" s="281">
        <f>ROUND(P70,0)</f>
        <v>0</v>
      </c>
      <c r="M746" s="281">
        <f>ROUND(P71,0)</f>
        <v>10148154</v>
      </c>
      <c r="N746" s="281">
        <f>ROUND(P76,0)</f>
        <v>27597</v>
      </c>
      <c r="O746" s="281">
        <f>ROUND(P74,0)</f>
        <v>69064681</v>
      </c>
      <c r="P746" s="281">
        <f>IF(P77&gt;0,ROUND(P77,0),0)</f>
        <v>0</v>
      </c>
      <c r="Q746" s="281">
        <f>IF(P78&gt;0,ROUND(P78,0),0)</f>
        <v>27597</v>
      </c>
      <c r="R746" s="281">
        <f>IF(P79&gt;0,ROUND(P79,0),0)</f>
        <v>145504</v>
      </c>
      <c r="S746" s="281">
        <f>IF(P80&gt;0,ROUND(P80,0),0)</f>
        <v>32</v>
      </c>
      <c r="T746" s="284">
        <f>IF(P81&gt;0,ROUND(P81,2),0)</f>
        <v>0</v>
      </c>
      <c r="U746" s="281"/>
      <c r="X746" s="281"/>
      <c r="Y746" s="281"/>
      <c r="Z746" s="281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tal*205*7030*A</v>
      </c>
      <c r="B747" s="281">
        <f>ROUND(Q59,0)</f>
        <v>182118</v>
      </c>
      <c r="C747" s="284">
        <f>ROUND(Q60,2)</f>
        <v>18.55</v>
      </c>
      <c r="D747" s="281">
        <f>ROUND(Q61,0)</f>
        <v>1461798</v>
      </c>
      <c r="E747" s="281">
        <f>ROUND(Q62,0)</f>
        <v>362832</v>
      </c>
      <c r="F747" s="281">
        <f>ROUND(Q63,0)</f>
        <v>0</v>
      </c>
      <c r="G747" s="281">
        <f>ROUND(Q64,0)</f>
        <v>244729</v>
      </c>
      <c r="H747" s="281">
        <f>ROUND(Q65,0)</f>
        <v>8648</v>
      </c>
      <c r="I747" s="281">
        <f>ROUND(Q66,0)</f>
        <v>6546</v>
      </c>
      <c r="J747" s="281">
        <f>ROUND(Q67,0)</f>
        <v>4111</v>
      </c>
      <c r="K747" s="281">
        <f>ROUND(Q68,0)</f>
        <v>166383</v>
      </c>
      <c r="L747" s="281">
        <f>ROUND(Q70,0)</f>
        <v>0</v>
      </c>
      <c r="M747" s="281">
        <f>ROUND(Q71,0)</f>
        <v>2263487</v>
      </c>
      <c r="N747" s="281">
        <f>ROUND(Q76,0)</f>
        <v>6898</v>
      </c>
      <c r="O747" s="281">
        <f>ROUND(Q74,0)</f>
        <v>5826629</v>
      </c>
      <c r="P747" s="281">
        <f>IF(Q77&gt;0,ROUND(Q77,0),0)</f>
        <v>0</v>
      </c>
      <c r="Q747" s="281">
        <f>IF(Q78&gt;0,ROUND(Q78,0),0)</f>
        <v>6898</v>
      </c>
      <c r="R747" s="281">
        <f>IF(Q79&gt;0,ROUND(Q79,0),0)</f>
        <v>0</v>
      </c>
      <c r="S747" s="281">
        <f>IF(Q80&gt;0,ROUND(Q80,0),0)</f>
        <v>16</v>
      </c>
      <c r="T747" s="284">
        <f>IF(Q81&gt;0,ROUND(Q81,2),0)</f>
        <v>0</v>
      </c>
      <c r="U747" s="281"/>
      <c r="X747" s="281"/>
      <c r="Y747" s="281"/>
      <c r="Z747" s="281">
        <f t="shared" si="21"/>
        <v>6586564</v>
      </c>
    </row>
    <row r="748" spans="1:26" ht="12.65" customHeight="1" x14ac:dyDescent="0.35">
      <c r="A748" s="209" t="str">
        <f>RIGHT($C$84,3)&amp;"*"&amp;RIGHT($C$83,4)&amp;"*"&amp;R$55&amp;"*"&amp;"A"</f>
        <v>tal*205*7040*A</v>
      </c>
      <c r="B748" s="281">
        <f>ROUND(R59,0)</f>
        <v>384901</v>
      </c>
      <c r="C748" s="284">
        <f>ROUND(R60,2)</f>
        <v>0</v>
      </c>
      <c r="D748" s="281">
        <f>ROUND(R61,0)</f>
        <v>0</v>
      </c>
      <c r="E748" s="281">
        <f>ROUND(R62,0)</f>
        <v>0</v>
      </c>
      <c r="F748" s="281">
        <f>ROUND(R63,0)</f>
        <v>0</v>
      </c>
      <c r="G748" s="281">
        <f>ROUND(R64,0)</f>
        <v>564</v>
      </c>
      <c r="H748" s="281">
        <f>ROUND(R65,0)</f>
        <v>0</v>
      </c>
      <c r="I748" s="281">
        <f>ROUND(R66,0)</f>
        <v>5400</v>
      </c>
      <c r="J748" s="281">
        <f>ROUND(R67,0)</f>
        <v>17405</v>
      </c>
      <c r="K748" s="281">
        <f>ROUND(R68,0)</f>
        <v>0</v>
      </c>
      <c r="L748" s="281">
        <f>ROUND(R70,0)</f>
        <v>0</v>
      </c>
      <c r="M748" s="281">
        <f>ROUND(R71,0)</f>
        <v>236649</v>
      </c>
      <c r="N748" s="281">
        <f>ROUND(R76,0)</f>
        <v>0</v>
      </c>
      <c r="O748" s="281">
        <f>ROUND(R74,0)</f>
        <v>29066153</v>
      </c>
      <c r="P748" s="281">
        <f>IF(R77&gt;0,ROUND(R77,0),0)</f>
        <v>0</v>
      </c>
      <c r="Q748" s="281">
        <f>IF(R78&gt;0,ROUND(R78,0),0)</f>
        <v>0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1"/>
        <v>1413993</v>
      </c>
    </row>
    <row r="749" spans="1:26" ht="12.65" customHeight="1" x14ac:dyDescent="0.35">
      <c r="A749" s="209" t="str">
        <f>RIGHT($C$84,3)&amp;"*"&amp;RIGHT($C$83,4)&amp;"*"&amp;S$55&amp;"*"&amp;"A"</f>
        <v>tal*205*7050*A</v>
      </c>
      <c r="B749" s="281"/>
      <c r="C749" s="284">
        <f>ROUND(S60,2)</f>
        <v>6.87</v>
      </c>
      <c r="D749" s="281">
        <f>ROUND(S61,0)</f>
        <v>284400</v>
      </c>
      <c r="E749" s="281">
        <f>ROUND(S62,0)</f>
        <v>112408</v>
      </c>
      <c r="F749" s="281">
        <f>ROUND(S63,0)</f>
        <v>0</v>
      </c>
      <c r="G749" s="281">
        <f>ROUND(S64,0)</f>
        <v>6693759</v>
      </c>
      <c r="H749" s="281">
        <f>ROUND(S65,0)</f>
        <v>2589</v>
      </c>
      <c r="I749" s="281">
        <f>ROUND(S66,0)</f>
        <v>0</v>
      </c>
      <c r="J749" s="281">
        <f>ROUND(S67,0)</f>
        <v>0</v>
      </c>
      <c r="K749" s="281">
        <f>ROUND(S68,0)</f>
        <v>44120</v>
      </c>
      <c r="L749" s="281">
        <f>ROUND(S70,0)</f>
        <v>0</v>
      </c>
      <c r="M749" s="281">
        <f>ROUND(S71,0)</f>
        <v>7139536</v>
      </c>
      <c r="N749" s="281">
        <f>ROUND(S76,0)</f>
        <v>11812</v>
      </c>
      <c r="O749" s="281">
        <f>ROUND(S74,0)</f>
        <v>9486195</v>
      </c>
      <c r="P749" s="281">
        <f>IF(S77&gt;0,ROUND(S77,0),0)</f>
        <v>0</v>
      </c>
      <c r="Q749" s="281">
        <f>IF(S78&gt;0,ROUND(S78,0),0)</f>
        <v>11812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1"/>
        <v>173314</v>
      </c>
    </row>
    <row r="750" spans="1:26" ht="12.65" customHeight="1" x14ac:dyDescent="0.35">
      <c r="A750" s="209" t="str">
        <f>RIGHT($C$84,3)&amp;"*"&amp;RIGHT($C$83,4)&amp;"*"&amp;T$55&amp;"*"&amp;"A"</f>
        <v>tal*205*7060*A</v>
      </c>
      <c r="B750" s="281"/>
      <c r="C750" s="284">
        <f>ROUND(T60,2)</f>
        <v>0</v>
      </c>
      <c r="D750" s="281">
        <f>ROUND(T61,0)</f>
        <v>0</v>
      </c>
      <c r="E750" s="281">
        <f>ROUND(T62,0)</f>
        <v>0</v>
      </c>
      <c r="F750" s="281">
        <f>ROUND(T63,0)</f>
        <v>0</v>
      </c>
      <c r="G750" s="281">
        <f>ROUND(T64,0)</f>
        <v>462</v>
      </c>
      <c r="H750" s="281">
        <f>ROUND(T65,0)</f>
        <v>0</v>
      </c>
      <c r="I750" s="281">
        <f>ROUND(T66,0)</f>
        <v>705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1167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>
        <f t="shared" si="21"/>
        <v>5321658</v>
      </c>
    </row>
    <row r="751" spans="1:26" ht="12.65" customHeight="1" x14ac:dyDescent="0.35">
      <c r="A751" s="209" t="str">
        <f>RIGHT($C$84,3)&amp;"*"&amp;RIGHT($C$83,4)&amp;"*"&amp;U$55&amp;"*"&amp;"A"</f>
        <v>tal*205*7070*A</v>
      </c>
      <c r="B751" s="281">
        <f>ROUND(U59,0)</f>
        <v>16716</v>
      </c>
      <c r="C751" s="284">
        <f>ROUND(U60,2)</f>
        <v>18.62</v>
      </c>
      <c r="D751" s="281">
        <f>ROUND(U61,0)</f>
        <v>794695</v>
      </c>
      <c r="E751" s="281">
        <f>ROUND(U62,0)</f>
        <v>297758</v>
      </c>
      <c r="F751" s="281">
        <f>ROUND(U63,0)</f>
        <v>83339</v>
      </c>
      <c r="G751" s="281">
        <f>ROUND(U64,0)</f>
        <v>345145</v>
      </c>
      <c r="H751" s="281">
        <f>ROUND(U65,0)</f>
        <v>8953</v>
      </c>
      <c r="I751" s="281">
        <f>ROUND(U66,0)</f>
        <v>809695</v>
      </c>
      <c r="J751" s="281">
        <f>ROUND(U67,0)</f>
        <v>90464</v>
      </c>
      <c r="K751" s="281">
        <f>ROUND(U68,0)</f>
        <v>131150</v>
      </c>
      <c r="L751" s="281">
        <f>ROUND(U70,0)</f>
        <v>0</v>
      </c>
      <c r="M751" s="281">
        <f>ROUND(U71,0)</f>
        <v>2588996</v>
      </c>
      <c r="N751" s="281">
        <f>ROUND(U76,0)</f>
        <v>7833</v>
      </c>
      <c r="O751" s="281">
        <f>ROUND(U74,0)</f>
        <v>1116624</v>
      </c>
      <c r="P751" s="281">
        <f>IF(U77&gt;0,ROUND(U77,0),0)</f>
        <v>0</v>
      </c>
      <c r="Q751" s="281">
        <f>IF(U78&gt;0,ROUND(U78,0),0)</f>
        <v>7833</v>
      </c>
      <c r="R751" s="281">
        <f>IF(U79&gt;0,ROUND(U79,0),0)</f>
        <v>981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1"/>
        <v>1054</v>
      </c>
    </row>
    <row r="752" spans="1:26" ht="12.65" customHeight="1" x14ac:dyDescent="0.35">
      <c r="A752" s="209" t="str">
        <f>RIGHT($C$84,3)&amp;"*"&amp;RIGHT($C$83,4)&amp;"*"&amp;V$55&amp;"*"&amp;"A"</f>
        <v>tal*205*7110*A</v>
      </c>
      <c r="B752" s="281">
        <f>ROUND(V59,0)</f>
        <v>0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0</v>
      </c>
      <c r="G752" s="281">
        <f>ROUND(V64,0)</f>
        <v>0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0</v>
      </c>
      <c r="L752" s="281">
        <f>ROUND(V70,0)</f>
        <v>0</v>
      </c>
      <c r="M752" s="281">
        <f>ROUND(V71,0)</f>
        <v>0</v>
      </c>
      <c r="N752" s="281">
        <f>ROUND(V76,0)</f>
        <v>0</v>
      </c>
      <c r="O752" s="281">
        <f>ROUND(V74,0)</f>
        <v>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>
        <f t="shared" si="21"/>
        <v>1627078</v>
      </c>
    </row>
    <row r="753" spans="1:26" ht="12.65" customHeight="1" x14ac:dyDescent="0.35">
      <c r="A753" s="209" t="str">
        <f>RIGHT($C$84,3)&amp;"*"&amp;RIGHT($C$83,4)&amp;"*"&amp;W$55&amp;"*"&amp;"A"</f>
        <v>tal*205*7120*A</v>
      </c>
      <c r="B753" s="281">
        <f>ROUND(W59,0)</f>
        <v>0</v>
      </c>
      <c r="C753" s="284">
        <f>ROUND(W60,2)</f>
        <v>0</v>
      </c>
      <c r="D753" s="281">
        <f>ROUND(W61,0)</f>
        <v>0</v>
      </c>
      <c r="E753" s="281">
        <f>ROUND(W62,0)</f>
        <v>0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0</v>
      </c>
      <c r="J753" s="281">
        <f>ROUND(W67,0)</f>
        <v>0</v>
      </c>
      <c r="K753" s="281">
        <f>ROUND(W68,0)</f>
        <v>0</v>
      </c>
      <c r="L753" s="281">
        <f>ROUND(W70,0)</f>
        <v>0</v>
      </c>
      <c r="M753" s="281">
        <f>ROUND(W71,0)</f>
        <v>0</v>
      </c>
      <c r="N753" s="281">
        <f>ROUND(W76,0)</f>
        <v>0</v>
      </c>
      <c r="O753" s="281">
        <f>ROUND(W74,0)</f>
        <v>0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1"/>
        <v>0</v>
      </c>
    </row>
    <row r="754" spans="1:26" ht="12.65" customHeight="1" x14ac:dyDescent="0.35">
      <c r="A754" s="209" t="str">
        <f>RIGHT($C$84,3)&amp;"*"&amp;RIGHT($C$83,4)&amp;"*"&amp;X$55&amp;"*"&amp;"A"</f>
        <v>tal*205*7130*A</v>
      </c>
      <c r="B754" s="281">
        <f>ROUND(X59,0)</f>
        <v>0</v>
      </c>
      <c r="C754" s="284">
        <f>ROUND(X60,2)</f>
        <v>4.5999999999999996</v>
      </c>
      <c r="D754" s="281">
        <f>ROUND(X61,0)</f>
        <v>303317</v>
      </c>
      <c r="E754" s="281">
        <f>ROUND(X62,0)</f>
        <v>90658</v>
      </c>
      <c r="F754" s="281">
        <f>ROUND(X63,0)</f>
        <v>0</v>
      </c>
      <c r="G754" s="281">
        <f>ROUND(X64,0)</f>
        <v>110232</v>
      </c>
      <c r="H754" s="281">
        <f>ROUND(X65,0)</f>
        <v>3349</v>
      </c>
      <c r="I754" s="281">
        <f>ROUND(X66,0)</f>
        <v>781659</v>
      </c>
      <c r="J754" s="281">
        <f>ROUND(X67,0)</f>
        <v>0</v>
      </c>
      <c r="K754" s="281">
        <f>ROUND(X68,0)</f>
        <v>68940</v>
      </c>
      <c r="L754" s="281">
        <f>ROUND(X70,0)</f>
        <v>0</v>
      </c>
      <c r="M754" s="281">
        <f>ROUND(X71,0)</f>
        <v>1360116</v>
      </c>
      <c r="N754" s="281">
        <f>ROUND(X76,0)</f>
        <v>3268</v>
      </c>
      <c r="O754" s="281">
        <f>ROUND(X74,0)</f>
        <v>9143050</v>
      </c>
      <c r="P754" s="281">
        <f>IF(X77&gt;0,ROUND(X77,0),0)</f>
        <v>0</v>
      </c>
      <c r="Q754" s="281">
        <f>IF(X78&gt;0,ROUND(X78,0),0)</f>
        <v>3268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1"/>
        <v>0</v>
      </c>
    </row>
    <row r="755" spans="1:26" ht="12.65" customHeight="1" x14ac:dyDescent="0.35">
      <c r="A755" s="209" t="str">
        <f>RIGHT($C$84,3)&amp;"*"&amp;RIGHT($C$83,4)&amp;"*"&amp;Y$55&amp;"*"&amp;"A"</f>
        <v>tal*205*7140*A</v>
      </c>
      <c r="B755" s="281">
        <f>ROUND(Y59,0)</f>
        <v>702181</v>
      </c>
      <c r="C755" s="284">
        <f>ROUND(Y60,2)</f>
        <v>54.08</v>
      </c>
      <c r="D755" s="281">
        <f>ROUND(Y61,0)</f>
        <v>3639761</v>
      </c>
      <c r="E755" s="281">
        <f>ROUND(Y62,0)</f>
        <v>1038733</v>
      </c>
      <c r="F755" s="281">
        <f>ROUND(Y63,0)</f>
        <v>370273</v>
      </c>
      <c r="G755" s="281">
        <f>ROUND(Y64,0)</f>
        <v>625500</v>
      </c>
      <c r="H755" s="281">
        <f>ROUND(Y65,0)</f>
        <v>22335</v>
      </c>
      <c r="I755" s="281">
        <f>ROUND(Y66,0)</f>
        <v>4395490</v>
      </c>
      <c r="J755" s="281">
        <f>ROUND(Y67,0)</f>
        <v>472961</v>
      </c>
      <c r="K755" s="281">
        <f>ROUND(Y68,0)</f>
        <v>459578</v>
      </c>
      <c r="L755" s="281">
        <f>ROUND(Y70,0)</f>
        <v>0</v>
      </c>
      <c r="M755" s="281">
        <f>ROUND(Y71,0)</f>
        <v>11285946</v>
      </c>
      <c r="N755" s="281">
        <f>ROUND(Y76,0)</f>
        <v>25353</v>
      </c>
      <c r="O755" s="281">
        <f>ROUND(Y74,0)</f>
        <v>67819489</v>
      </c>
      <c r="P755" s="281">
        <f>IF(Y77&gt;0,ROUND(Y77,0),0)</f>
        <v>0</v>
      </c>
      <c r="Q755" s="281">
        <f>IF(Y78&gt;0,ROUND(Y78,0),0)</f>
        <v>25353</v>
      </c>
      <c r="R755" s="281">
        <f>IF(Y79&gt;0,ROUND(Y79,0),0)</f>
        <v>36089</v>
      </c>
      <c r="S755" s="281">
        <f>IF(Y80&gt;0,ROUND(Y80,0),0)</f>
        <v>2</v>
      </c>
      <c r="T755" s="284">
        <f>IF(Y81&gt;0,ROUND(Y81,2),0)</f>
        <v>0</v>
      </c>
      <c r="U755" s="281"/>
      <c r="X755" s="281"/>
      <c r="Y755" s="281"/>
      <c r="Z755" s="281">
        <f t="shared" si="21"/>
        <v>914119</v>
      </c>
    </row>
    <row r="756" spans="1:26" ht="12.65" customHeight="1" x14ac:dyDescent="0.35">
      <c r="A756" s="209" t="str">
        <f>RIGHT($C$84,3)&amp;"*"&amp;RIGHT($C$83,4)&amp;"*"&amp;Z$55&amp;"*"&amp;"A"</f>
        <v>tal*205*7150*A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>
        <f t="shared" si="21"/>
        <v>7804075</v>
      </c>
    </row>
    <row r="757" spans="1:26" ht="12.65" customHeight="1" x14ac:dyDescent="0.35">
      <c r="A757" s="209" t="str">
        <f>RIGHT($C$84,3)&amp;"*"&amp;RIGHT($C$83,4)&amp;"*"&amp;AA$55&amp;"*"&amp;"A"</f>
        <v>tal*205*7160*A</v>
      </c>
      <c r="B757" s="281">
        <f>ROUND(AA59,0)</f>
        <v>566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12646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12646</v>
      </c>
      <c r="N757" s="281">
        <f>ROUND(AA76,0)</f>
        <v>0</v>
      </c>
      <c r="O757" s="281">
        <f>ROUND(AA74,0)</f>
        <v>117740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tal*205*7170*A</v>
      </c>
      <c r="B758" s="281"/>
      <c r="C758" s="284">
        <f>ROUND(AB60,2)</f>
        <v>0.08</v>
      </c>
      <c r="D758" s="281">
        <f>ROUND(AB61,0)</f>
        <v>842048</v>
      </c>
      <c r="E758" s="281">
        <f>ROUND(AB62,0)</f>
        <v>191002</v>
      </c>
      <c r="F758" s="281">
        <f>ROUND(AB63,0)</f>
        <v>300</v>
      </c>
      <c r="G758" s="281">
        <f>ROUND(AB64,0)</f>
        <v>2597504</v>
      </c>
      <c r="H758" s="281">
        <f>ROUND(AB65,0)</f>
        <v>6250</v>
      </c>
      <c r="I758" s="281">
        <f>ROUND(AB66,0)</f>
        <v>124147</v>
      </c>
      <c r="J758" s="281">
        <f>ROUND(AB67,0)</f>
        <v>29165</v>
      </c>
      <c r="K758" s="281">
        <f>ROUND(AB68,0)</f>
        <v>31874</v>
      </c>
      <c r="L758" s="281">
        <f>ROUND(AB70,0)</f>
        <v>0</v>
      </c>
      <c r="M758" s="281">
        <f>ROUND(AB71,0)</f>
        <v>3871421</v>
      </c>
      <c r="N758" s="281">
        <f>ROUND(AB76,0)</f>
        <v>2198</v>
      </c>
      <c r="O758" s="281">
        <f>ROUND(AB74,0)</f>
        <v>8255300</v>
      </c>
      <c r="P758" s="281">
        <f>IF(AB77&gt;0,ROUND(AB77,0),0)</f>
        <v>0</v>
      </c>
      <c r="Q758" s="281">
        <f>IF(AB78&gt;0,ROUND(AB78,0),0)</f>
        <v>2198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1"/>
        <v>11264</v>
      </c>
    </row>
    <row r="759" spans="1:26" ht="12.65" customHeight="1" x14ac:dyDescent="0.35">
      <c r="A759" s="209" t="str">
        <f>RIGHT($C$84,3)&amp;"*"&amp;RIGHT($C$83,4)&amp;"*"&amp;AC$55&amp;"*"&amp;"A"</f>
        <v>tal*205*7180*A</v>
      </c>
      <c r="B759" s="281">
        <f>ROUND(AC59,0)</f>
        <v>0</v>
      </c>
      <c r="C759" s="284">
        <f>ROUND(AC60,2)</f>
        <v>0.64</v>
      </c>
      <c r="D759" s="281">
        <f>ROUND(AC61,0)</f>
        <v>52705</v>
      </c>
      <c r="E759" s="281">
        <f>ROUND(AC62,0)</f>
        <v>12159</v>
      </c>
      <c r="F759" s="281">
        <f>ROUND(AC63,0)</f>
        <v>25281</v>
      </c>
      <c r="G759" s="281">
        <f>ROUND(AC64,0)</f>
        <v>4247</v>
      </c>
      <c r="H759" s="281">
        <f>ROUND(AC65,0)</f>
        <v>0</v>
      </c>
      <c r="I759" s="281">
        <f>ROUND(AC66,0)</f>
        <v>0</v>
      </c>
      <c r="J759" s="281">
        <f>ROUND(AC67,0)</f>
        <v>0</v>
      </c>
      <c r="K759" s="281">
        <f>ROUND(AC68,0)</f>
        <v>0</v>
      </c>
      <c r="L759" s="281">
        <f>ROUND(AC70,0)</f>
        <v>0</v>
      </c>
      <c r="M759" s="281">
        <f>ROUND(AC71,0)</f>
        <v>96672</v>
      </c>
      <c r="N759" s="281">
        <f>ROUND(AC76,0)</f>
        <v>0</v>
      </c>
      <c r="O759" s="281">
        <f>ROUND(AC74,0)</f>
        <v>370</v>
      </c>
      <c r="P759" s="281">
        <f>IF(AC77&gt;0,ROUND(AC77,0),0)</f>
        <v>0</v>
      </c>
      <c r="Q759" s="281">
        <f>IF(AC78&gt;0,ROUND(AC78,0),0)</f>
        <v>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1"/>
        <v>3277773</v>
      </c>
    </row>
    <row r="760" spans="1:26" ht="12.65" customHeight="1" x14ac:dyDescent="0.35">
      <c r="A760" s="209" t="str">
        <f>RIGHT($C$84,3)&amp;"*"&amp;RIGHT($C$83,4)&amp;"*"&amp;AD$55&amp;"*"&amp;"A"</f>
        <v>tal*205*7190*A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>
        <f t="shared" si="21"/>
        <v>88470</v>
      </c>
    </row>
    <row r="761" spans="1:26" ht="12.65" customHeight="1" x14ac:dyDescent="0.35">
      <c r="A761" s="209" t="str">
        <f>RIGHT($C$84,3)&amp;"*"&amp;RIGHT($C$83,4)&amp;"*"&amp;AE$55&amp;"*"&amp;"A"</f>
        <v>tal*205*7200*A</v>
      </c>
      <c r="B761" s="281">
        <f>ROUND(AE59,0)</f>
        <v>91567</v>
      </c>
      <c r="C761" s="284">
        <f>ROUND(AE60,2)</f>
        <v>26.33</v>
      </c>
      <c r="D761" s="281">
        <f>ROUND(AE61,0)</f>
        <v>1898687</v>
      </c>
      <c r="E761" s="281">
        <f>ROUND(AE62,0)</f>
        <v>605266</v>
      </c>
      <c r="F761" s="281">
        <f>ROUND(AE63,0)</f>
        <v>35776</v>
      </c>
      <c r="G761" s="281">
        <f>ROUND(AE64,0)</f>
        <v>66042</v>
      </c>
      <c r="H761" s="281">
        <f>ROUND(AE65,0)</f>
        <v>18885</v>
      </c>
      <c r="I761" s="281">
        <f>ROUND(AE66,0)</f>
        <v>6860</v>
      </c>
      <c r="J761" s="281">
        <f>ROUND(AE67,0)</f>
        <v>26402</v>
      </c>
      <c r="K761" s="281">
        <f>ROUND(AE68,0)</f>
        <v>220347</v>
      </c>
      <c r="L761" s="281">
        <f>ROUND(AE70,0)</f>
        <v>0</v>
      </c>
      <c r="M761" s="281">
        <f>ROUND(AE71,0)</f>
        <v>2988571</v>
      </c>
      <c r="N761" s="281">
        <f>ROUND(AE76,0)</f>
        <v>4450</v>
      </c>
      <c r="O761" s="281">
        <f>ROUND(AE74,0)</f>
        <v>5893315</v>
      </c>
      <c r="P761" s="281">
        <f>IF(AE77&gt;0,ROUND(AE77,0),0)</f>
        <v>0</v>
      </c>
      <c r="Q761" s="281">
        <f>IF(AE78&gt;0,ROUND(AE78,0),0)</f>
        <v>4450</v>
      </c>
      <c r="R761" s="281">
        <f>IF(AE79&gt;0,ROUND(AE79,0),0)</f>
        <v>8318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tal*205*7220*A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1"/>
        <v>2318721</v>
      </c>
    </row>
    <row r="763" spans="1:26" ht="12.65" customHeight="1" x14ac:dyDescent="0.35">
      <c r="A763" s="209" t="str">
        <f>RIGHT($C$84,3)&amp;"*"&amp;RIGHT($C$83,4)&amp;"*"&amp;AG$55&amp;"*"&amp;"A"</f>
        <v>tal*205*7230*A</v>
      </c>
      <c r="B763" s="281">
        <f>ROUND(AG59,0)</f>
        <v>0</v>
      </c>
      <c r="C763" s="284">
        <f>ROUND(AG60,2)</f>
        <v>0</v>
      </c>
      <c r="D763" s="281">
        <f>ROUND(AG61,0)</f>
        <v>0</v>
      </c>
      <c r="E763" s="281">
        <f>ROUND(AG62,0)</f>
        <v>0</v>
      </c>
      <c r="F763" s="281">
        <f>ROUND(AG63,0)</f>
        <v>0</v>
      </c>
      <c r="G763" s="281">
        <f>ROUND(AG64,0)</f>
        <v>0</v>
      </c>
      <c r="H763" s="281">
        <f>ROUND(AG65,0)</f>
        <v>0</v>
      </c>
      <c r="I763" s="281">
        <f>ROUND(AG66,0)</f>
        <v>0</v>
      </c>
      <c r="J763" s="281">
        <f>ROUND(AG67,0)</f>
        <v>0</v>
      </c>
      <c r="K763" s="281">
        <f>ROUND(AG68,0)</f>
        <v>0</v>
      </c>
      <c r="L763" s="281">
        <f>ROUND(AG70,0)</f>
        <v>0</v>
      </c>
      <c r="M763" s="281">
        <f>ROUND(AG71,0)</f>
        <v>0</v>
      </c>
      <c r="N763" s="281">
        <f>ROUND(AG76,0)</f>
        <v>0</v>
      </c>
      <c r="O763" s="281">
        <f>ROUND(AG74,0)</f>
        <v>0</v>
      </c>
      <c r="P763" s="281">
        <f>IF(AG77&gt;0,ROUND(AG77,0),0)</f>
        <v>0</v>
      </c>
      <c r="Q763" s="281">
        <f>IF(AG78&gt;0,ROUND(AG78,0),0)</f>
        <v>0</v>
      </c>
      <c r="R763" s="281">
        <f>IF(AG79&gt;0,ROUND(AG79,0),0)</f>
        <v>0</v>
      </c>
      <c r="S763" s="281">
        <f>IF(AG80&gt;0,ROUND(AG80,0),0)</f>
        <v>0</v>
      </c>
      <c r="T763" s="284">
        <f>IF(AG81&gt;0,ROUND(AG81,2),0)</f>
        <v>0</v>
      </c>
      <c r="U763" s="281"/>
      <c r="X763" s="281"/>
      <c r="Y763" s="281"/>
      <c r="Z763" s="281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tal*205*7240*A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1"/>
        <v>0</v>
      </c>
    </row>
    <row r="765" spans="1:26" ht="12.65" customHeight="1" x14ac:dyDescent="0.35">
      <c r="A765" s="209" t="str">
        <f>RIGHT($C$84,3)&amp;"*"&amp;RIGHT($C$83,4)&amp;"*"&amp;AI$55&amp;"*"&amp;"A"</f>
        <v>tal*205*7250*A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tal*205*7260*A</v>
      </c>
      <c r="B766" s="281">
        <f>ROUND(AJ59,0)</f>
        <v>199478</v>
      </c>
      <c r="C766" s="284">
        <f>ROUND(AJ60,2)</f>
        <v>238.35</v>
      </c>
      <c r="D766" s="281">
        <f>ROUND(AJ61,0)</f>
        <v>16483157</v>
      </c>
      <c r="E766" s="281">
        <f>ROUND(AJ62,0)</f>
        <v>5056421</v>
      </c>
      <c r="F766" s="281">
        <f>ROUND(AJ63,0)</f>
        <v>673020</v>
      </c>
      <c r="G766" s="281">
        <f>ROUND(AJ64,0)</f>
        <v>7409329</v>
      </c>
      <c r="H766" s="281">
        <f>ROUND(AJ65,0)</f>
        <v>105024</v>
      </c>
      <c r="I766" s="281">
        <f>ROUND(AJ66,0)</f>
        <v>311963</v>
      </c>
      <c r="J766" s="281">
        <f>ROUND(AJ67,0)</f>
        <v>394676</v>
      </c>
      <c r="K766" s="281">
        <f>ROUND(AJ68,0)</f>
        <v>1559439</v>
      </c>
      <c r="L766" s="281">
        <f>ROUND(AJ70,0)</f>
        <v>0</v>
      </c>
      <c r="M766" s="281">
        <f>ROUND(AJ71,0)</f>
        <v>33539386</v>
      </c>
      <c r="N766" s="281">
        <f>ROUND(AJ76,0)</f>
        <v>86795</v>
      </c>
      <c r="O766" s="281">
        <f>ROUND(AJ74,0)</f>
        <v>138055559</v>
      </c>
      <c r="P766" s="281">
        <f>IF(AJ77&gt;0,ROUND(AJ77,0),0)</f>
        <v>0</v>
      </c>
      <c r="Q766" s="281">
        <f>IF(AJ78&gt;0,ROUND(AJ78,0),0)</f>
        <v>86795</v>
      </c>
      <c r="R766" s="281">
        <f>IF(AJ79&gt;0,ROUND(AJ79,0),0)</f>
        <v>11352</v>
      </c>
      <c r="S766" s="281">
        <f>IF(AJ80&gt;0,ROUND(AJ80,0),0)</f>
        <v>33</v>
      </c>
      <c r="T766" s="284">
        <f>IF(AJ81&gt;0,ROUND(AJ81,2),0)</f>
        <v>0</v>
      </c>
      <c r="U766" s="281"/>
      <c r="X766" s="281"/>
      <c r="Y766" s="281"/>
      <c r="Z766" s="281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tal*205*7310*A</v>
      </c>
      <c r="B767" s="281">
        <f>ROUND(AK59,0)</f>
        <v>8987</v>
      </c>
      <c r="C767" s="284">
        <f>ROUND(AK60,2)</f>
        <v>14.95</v>
      </c>
      <c r="D767" s="281">
        <f>ROUND(AK61,0)</f>
        <v>1158055</v>
      </c>
      <c r="E767" s="281">
        <f>ROUND(AK62,0)</f>
        <v>391859</v>
      </c>
      <c r="F767" s="281">
        <f>ROUND(AK63,0)</f>
        <v>1134</v>
      </c>
      <c r="G767" s="281">
        <f>ROUND(AK64,0)</f>
        <v>68255</v>
      </c>
      <c r="H767" s="281">
        <f>ROUND(AK65,0)</f>
        <v>960</v>
      </c>
      <c r="I767" s="281">
        <f>ROUND(AK66,0)</f>
        <v>48183</v>
      </c>
      <c r="J767" s="281">
        <f>ROUND(AK67,0)</f>
        <v>826</v>
      </c>
      <c r="K767" s="281">
        <f>ROUND(AK68,0)</f>
        <v>72189</v>
      </c>
      <c r="L767" s="281">
        <f>ROUND(AK70,0)</f>
        <v>0</v>
      </c>
      <c r="M767" s="281">
        <f>ROUND(AK71,0)</f>
        <v>1781008</v>
      </c>
      <c r="N767" s="281">
        <f>ROUND(AK76,0)</f>
        <v>0</v>
      </c>
      <c r="O767" s="281">
        <f>ROUND(AK74,0)</f>
        <v>3058833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1"/>
        <v>22295737</v>
      </c>
    </row>
    <row r="768" spans="1:26" ht="12.65" customHeight="1" x14ac:dyDescent="0.35">
      <c r="A768" s="209" t="str">
        <f>RIGHT($C$84,3)&amp;"*"&amp;RIGHT($C$83,4)&amp;"*"&amp;AL$55&amp;"*"&amp;"A"</f>
        <v>tal*205*7320*A</v>
      </c>
      <c r="B768" s="281">
        <f>ROUND(AL59,0)</f>
        <v>0</v>
      </c>
      <c r="C768" s="284">
        <f>ROUND(AL60,2)</f>
        <v>1.08</v>
      </c>
      <c r="D768" s="281">
        <f>ROUND(AL61,0)</f>
        <v>102951</v>
      </c>
      <c r="E768" s="281">
        <f>ROUND(AL62,0)</f>
        <v>20680</v>
      </c>
      <c r="F768" s="281">
        <f>ROUND(AL63,0)</f>
        <v>0</v>
      </c>
      <c r="G768" s="281">
        <f>ROUND(AL64,0)</f>
        <v>1744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125413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1"/>
        <v>1629796</v>
      </c>
    </row>
    <row r="769" spans="1:26" ht="12.65" customHeight="1" x14ac:dyDescent="0.35">
      <c r="A769" s="209" t="str">
        <f>RIGHT($C$84,3)&amp;"*"&amp;RIGHT($C$83,4)&amp;"*"&amp;AM$55&amp;"*"&amp;"A"</f>
        <v>tal*205*7330*A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1"/>
        <v>114452</v>
      </c>
    </row>
    <row r="770" spans="1:26" ht="12.65" customHeight="1" x14ac:dyDescent="0.35">
      <c r="A770" s="209" t="str">
        <f>RIGHT($C$84,3)&amp;"*"&amp;RIGHT($C$83,4)&amp;"*"&amp;AN$55&amp;"*"&amp;"A"</f>
        <v>tal*205*7340*A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tal*205*7350*A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tal*205*7380*A</v>
      </c>
      <c r="B772" s="281">
        <f>ROUND(AP59,0)</f>
        <v>486083</v>
      </c>
      <c r="C772" s="284">
        <f>ROUND(AP60,2)</f>
        <v>574.08000000000004</v>
      </c>
      <c r="D772" s="281">
        <f>ROUND(AP61,0)</f>
        <v>36620872</v>
      </c>
      <c r="E772" s="281">
        <f>ROUND(AP62,0)</f>
        <v>11336571</v>
      </c>
      <c r="F772" s="281">
        <f>ROUND(AP63,0)</f>
        <v>2948513</v>
      </c>
      <c r="G772" s="281">
        <f>ROUND(AP64,0)</f>
        <v>8416389</v>
      </c>
      <c r="H772" s="281">
        <f>ROUND(AP65,0)</f>
        <v>564792</v>
      </c>
      <c r="I772" s="281">
        <f>ROUND(AP66,0)</f>
        <v>1847136</v>
      </c>
      <c r="J772" s="281">
        <f>ROUND(AP67,0)</f>
        <v>676802</v>
      </c>
      <c r="K772" s="281">
        <f>ROUND(AP68,0)</f>
        <v>4339312</v>
      </c>
      <c r="L772" s="281">
        <f>ROUND(AP70,0)</f>
        <v>0</v>
      </c>
      <c r="M772" s="281">
        <f>ROUND(AP71,0)</f>
        <v>69086558</v>
      </c>
      <c r="N772" s="281">
        <f>ROUND(AP76,0)</f>
        <v>97226</v>
      </c>
      <c r="O772" s="281">
        <f>ROUND(AP74,0)</f>
        <v>183056389</v>
      </c>
      <c r="P772" s="281">
        <f>IF(AP77&gt;0,ROUND(AP77,0),0)</f>
        <v>0</v>
      </c>
      <c r="Q772" s="281">
        <f>IF(AP78&gt;0,ROUND(AP78,0),0)</f>
        <v>97226</v>
      </c>
      <c r="R772" s="281">
        <f>IF(AP79&gt;0,ROUND(AP79,0),0)</f>
        <v>73291</v>
      </c>
      <c r="S772" s="281">
        <f>IF(AP80&gt;0,ROUND(AP80,0),0)</f>
        <v>92</v>
      </c>
      <c r="T772" s="284">
        <f>IF(AP81&gt;0,ROUND(AP81,2),0)</f>
        <v>0</v>
      </c>
      <c r="U772" s="281"/>
      <c r="X772" s="281"/>
      <c r="Y772" s="281"/>
      <c r="Z772" s="281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tal*205*7390*A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1"/>
        <v>53971514</v>
      </c>
    </row>
    <row r="774" spans="1:26" ht="12.65" customHeight="1" x14ac:dyDescent="0.35">
      <c r="A774" s="209" t="str">
        <f>RIGHT($C$84,3)&amp;"*"&amp;RIGHT($C$83,4)&amp;"*"&amp;AR$55&amp;"*"&amp;"A"</f>
        <v>tal*205*7400*A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tal*205*7410*A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tal*205*7420*A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tal*205*7430*A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tal*205*7490*A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5276978</v>
      </c>
      <c r="J778" s="281">
        <f>ROUND(AV67,0)</f>
        <v>0</v>
      </c>
      <c r="K778" s="281">
        <f>ROUND(AV68,0)</f>
        <v>0</v>
      </c>
      <c r="L778" s="281">
        <f>ROUND(AV70,0)</f>
        <v>0</v>
      </c>
      <c r="M778" s="281">
        <f>ROUND(AV71,0)</f>
        <v>5276978</v>
      </c>
      <c r="N778" s="281">
        <f>ROUND(AV76,0)</f>
        <v>0</v>
      </c>
      <c r="O778" s="281">
        <f>ROUND(AV74,0)</f>
        <v>3600249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tal*205*8200*A</v>
      </c>
      <c r="B779" s="281"/>
      <c r="C779" s="284">
        <f>ROUND(AW60,2)</f>
        <v>0</v>
      </c>
      <c r="D779" s="281">
        <f>ROUND(AW61,0)</f>
        <v>-449</v>
      </c>
      <c r="E779" s="281">
        <f>ROUND(AW62,0)</f>
        <v>-57</v>
      </c>
      <c r="F779" s="281">
        <f>ROUND(AW63,0)</f>
        <v>0</v>
      </c>
      <c r="G779" s="281">
        <f>ROUND(AW64,0)</f>
        <v>278</v>
      </c>
      <c r="H779" s="281">
        <f>ROUND(AW65,0)</f>
        <v>0</v>
      </c>
      <c r="I779" s="281">
        <f>ROUND(AW66,0)</f>
        <v>39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-189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5">
      <c r="A780" s="209" t="str">
        <f>RIGHT($C$84,3)&amp;"*"&amp;RIGHT($C$83,4)&amp;"*"&amp;AX$55&amp;"*"&amp;"A"</f>
        <v>tal*205*8310*A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5">
      <c r="A781" s="209" t="str">
        <f>RIGHT($C$84,3)&amp;"*"&amp;RIGHT($C$83,4)&amp;"*"&amp;AY$55&amp;"*"&amp;"A"</f>
        <v>tal*205*8320*A</v>
      </c>
      <c r="B781" s="281">
        <f>ROUND(AY59,0)</f>
        <v>0</v>
      </c>
      <c r="C781" s="284">
        <f>ROUND(AY60,2)</f>
        <v>0</v>
      </c>
      <c r="D781" s="281">
        <f>ROUND(AY61,0)</f>
        <v>0</v>
      </c>
      <c r="E781" s="281">
        <f>ROUND(AY62,0)</f>
        <v>0</v>
      </c>
      <c r="F781" s="281">
        <f>ROUND(AY63,0)</f>
        <v>0</v>
      </c>
      <c r="G781" s="281">
        <f>ROUND(AY64,0)</f>
        <v>0</v>
      </c>
      <c r="H781" s="281">
        <f>ROUND(AY65,0)</f>
        <v>0</v>
      </c>
      <c r="I781" s="281">
        <f>ROUND(AY66,0)</f>
        <v>0</v>
      </c>
      <c r="J781" s="281">
        <f>ROUND(AY67,0)</f>
        <v>0</v>
      </c>
      <c r="K781" s="281">
        <f>ROUND(AY68,0)</f>
        <v>0</v>
      </c>
      <c r="L781" s="281">
        <f>ROUND(AY70,0)</f>
        <v>0</v>
      </c>
      <c r="M781" s="281">
        <f>ROUND(AY71,0)</f>
        <v>0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5">
      <c r="A782" s="209" t="str">
        <f>RIGHT($C$84,3)&amp;"*"&amp;RIGHT($C$83,4)&amp;"*"&amp;AZ$55&amp;"*"&amp;"A"</f>
        <v>tal*205*8330*A</v>
      </c>
      <c r="B782" s="281">
        <f>ROUND(AZ59,0)</f>
        <v>6915</v>
      </c>
      <c r="C782" s="284">
        <f>ROUND(AZ60,2)</f>
        <v>9.49</v>
      </c>
      <c r="D782" s="281">
        <f>ROUND(AZ61,0)</f>
        <v>349526</v>
      </c>
      <c r="E782" s="281">
        <f>ROUND(AZ62,0)</f>
        <v>129637</v>
      </c>
      <c r="F782" s="281">
        <f>ROUND(AZ63,0)</f>
        <v>0</v>
      </c>
      <c r="G782" s="281">
        <f>ROUND(AZ64,0)</f>
        <v>419741</v>
      </c>
      <c r="H782" s="281">
        <f>ROUND(AZ65,0)</f>
        <v>4667</v>
      </c>
      <c r="I782" s="281">
        <f>ROUND(AZ66,0)</f>
        <v>22103</v>
      </c>
      <c r="J782" s="281">
        <f>ROUND(AZ67,0)</f>
        <v>2110</v>
      </c>
      <c r="K782" s="281">
        <f>ROUND(AZ68,0)</f>
        <v>41842</v>
      </c>
      <c r="L782" s="281">
        <f>ROUND(AZ70,0)</f>
        <v>0</v>
      </c>
      <c r="M782" s="281">
        <f>ROUND(AZ71,0)</f>
        <v>977439</v>
      </c>
      <c r="N782" s="281"/>
      <c r="O782" s="281"/>
      <c r="P782" s="281">
        <f>IF(AZ77&gt;0,ROUND(AZ77,0),0)</f>
        <v>0</v>
      </c>
      <c r="Q782" s="281">
        <f>IF(AZ78&gt;0,ROUND(AZ78,0),0)</f>
        <v>1642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5">
      <c r="A783" s="209" t="str">
        <f>RIGHT($C$84,3)&amp;"*"&amp;RIGHT($C$83,4)&amp;"*"&amp;BA$55&amp;"*"&amp;"A"</f>
        <v>tal*205*8350*A</v>
      </c>
      <c r="B783" s="281">
        <f>ROUND(BA59,0)</f>
        <v>0</v>
      </c>
      <c r="C783" s="284">
        <f>ROUND(BA60,2)</f>
        <v>0</v>
      </c>
      <c r="D783" s="281">
        <f>ROUND(BA61,0)</f>
        <v>0</v>
      </c>
      <c r="E783" s="281">
        <f>ROUND(BA62,0)</f>
        <v>0</v>
      </c>
      <c r="F783" s="281">
        <f>ROUND(BA63,0)</f>
        <v>0</v>
      </c>
      <c r="G783" s="281">
        <f>ROUND(BA64,0)</f>
        <v>-53195</v>
      </c>
      <c r="H783" s="281">
        <f>ROUND(BA65,0)</f>
        <v>5187</v>
      </c>
      <c r="I783" s="281">
        <f>ROUND(BA66,0)</f>
        <v>0</v>
      </c>
      <c r="J783" s="281">
        <f>ROUND(BA67,0)</f>
        <v>0</v>
      </c>
      <c r="K783" s="281">
        <f>ROUND(BA68,0)</f>
        <v>110224</v>
      </c>
      <c r="L783" s="281">
        <f>ROUND(BA70,0)</f>
        <v>0</v>
      </c>
      <c r="M783" s="281">
        <f>ROUND(BA71,0)</f>
        <v>62308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5">
      <c r="A784" s="209" t="str">
        <f>RIGHT($C$84,3)&amp;"*"&amp;RIGHT($C$83,4)&amp;"*"&amp;BB$55&amp;"*"&amp;"A"</f>
        <v>tal*205*8360*A</v>
      </c>
      <c r="B784" s="281"/>
      <c r="C784" s="284">
        <f>ROUND(BB60,2)</f>
        <v>0</v>
      </c>
      <c r="D784" s="281">
        <f>ROUND(BB61,0)</f>
        <v>0</v>
      </c>
      <c r="E784" s="281">
        <f>ROUND(BB62,0)</f>
        <v>0</v>
      </c>
      <c r="F784" s="281">
        <f>ROUND(BB63,0)</f>
        <v>0</v>
      </c>
      <c r="G784" s="281">
        <f>ROUND(BB64,0)</f>
        <v>0</v>
      </c>
      <c r="H784" s="281">
        <f>ROUND(BB65,0)</f>
        <v>0</v>
      </c>
      <c r="I784" s="281">
        <f>ROUND(BB66,0)</f>
        <v>0</v>
      </c>
      <c r="J784" s="281">
        <f>ROUND(BB67,0)</f>
        <v>0</v>
      </c>
      <c r="K784" s="281">
        <f>ROUND(BB68,0)</f>
        <v>0</v>
      </c>
      <c r="L784" s="281">
        <f>ROUND(BB70,0)</f>
        <v>0</v>
      </c>
      <c r="M784" s="281">
        <f>ROUND(BB71,0)</f>
        <v>0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5">
      <c r="A785" s="209" t="str">
        <f>RIGHT($C$84,3)&amp;"*"&amp;RIGHT($C$83,4)&amp;"*"&amp;BC$55&amp;"*"&amp;"A"</f>
        <v>tal*205*8370*A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5">
      <c r="A786" s="209" t="str">
        <f>RIGHT($C$84,3)&amp;"*"&amp;RIGHT($C$83,4)&amp;"*"&amp;BD$55&amp;"*"&amp;"A"</f>
        <v>tal*205*8420*A</v>
      </c>
      <c r="B786" s="281"/>
      <c r="C786" s="284">
        <f>ROUND(BD60,2)</f>
        <v>0</v>
      </c>
      <c r="D786" s="281">
        <f>ROUND(BD61,0)</f>
        <v>0</v>
      </c>
      <c r="E786" s="281">
        <f>ROUND(BD62,0)</f>
        <v>0</v>
      </c>
      <c r="F786" s="281">
        <f>ROUND(BD63,0)</f>
        <v>0</v>
      </c>
      <c r="G786" s="281">
        <f>ROUND(BD64,0)</f>
        <v>0</v>
      </c>
      <c r="H786" s="281">
        <f>ROUND(BD65,0)</f>
        <v>0</v>
      </c>
      <c r="I786" s="281">
        <f>ROUND(BD66,0)</f>
        <v>0</v>
      </c>
      <c r="J786" s="281">
        <f>ROUND(BD67,0)</f>
        <v>0</v>
      </c>
      <c r="K786" s="281">
        <f>ROUND(BD68,0)</f>
        <v>0</v>
      </c>
      <c r="L786" s="281">
        <f>ROUND(BD70,0)</f>
        <v>0</v>
      </c>
      <c r="M786" s="281">
        <f>ROUND(BD71,0)</f>
        <v>0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5">
      <c r="A787" s="209" t="str">
        <f>RIGHT($C$84,3)&amp;"*"&amp;RIGHT($C$83,4)&amp;"*"&amp;BE$55&amp;"*"&amp;"A"</f>
        <v>tal*205*8430*A</v>
      </c>
      <c r="B787" s="281">
        <f>ROUND(BE59,0)</f>
        <v>375361</v>
      </c>
      <c r="C787" s="284">
        <f>ROUND(BE60,2)</f>
        <v>11.56</v>
      </c>
      <c r="D787" s="281">
        <f>ROUND(BE61,0)</f>
        <v>604108</v>
      </c>
      <c r="E787" s="281">
        <f>ROUND(BE62,0)</f>
        <v>193497</v>
      </c>
      <c r="F787" s="281">
        <f>ROUND(BE63,0)</f>
        <v>0</v>
      </c>
      <c r="G787" s="281">
        <f>ROUND(BE64,0)</f>
        <v>50049</v>
      </c>
      <c r="H787" s="281">
        <f>ROUND(BE65,0)</f>
        <v>27970</v>
      </c>
      <c r="I787" s="281">
        <f>ROUND(BE66,0)</f>
        <v>1152140</v>
      </c>
      <c r="J787" s="281">
        <f>ROUND(BE67,0)</f>
        <v>86075</v>
      </c>
      <c r="K787" s="281">
        <f>ROUND(BE68,0)</f>
        <v>153844</v>
      </c>
      <c r="L787" s="281">
        <f>ROUND(BE70,0)</f>
        <v>0</v>
      </c>
      <c r="M787" s="281">
        <f>ROUND(BE71,0)</f>
        <v>2292944</v>
      </c>
      <c r="N787" s="281"/>
      <c r="O787" s="281"/>
      <c r="P787" s="281">
        <f>IF(BE77&gt;0,ROUND(BE77,0),0)</f>
        <v>0</v>
      </c>
      <c r="Q787" s="281">
        <f>IF(BE78&gt;0,ROUND(BE78,0),0)</f>
        <v>15663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5">
      <c r="A788" s="209" t="str">
        <f>RIGHT($C$84,3)&amp;"*"&amp;RIGHT($C$83,4)&amp;"*"&amp;BF$55&amp;"*"&amp;"A"</f>
        <v>tal*205*8460*A</v>
      </c>
      <c r="B788" s="281"/>
      <c r="C788" s="284">
        <f>ROUND(BF60,2)</f>
        <v>25.71</v>
      </c>
      <c r="D788" s="281">
        <f>ROUND(BF61,0)</f>
        <v>885118</v>
      </c>
      <c r="E788" s="281">
        <f>ROUND(BF62,0)</f>
        <v>387391</v>
      </c>
      <c r="F788" s="281">
        <f>ROUND(BF63,0)</f>
        <v>0</v>
      </c>
      <c r="G788" s="281">
        <f>ROUND(BF64,0)</f>
        <v>569908</v>
      </c>
      <c r="H788" s="281">
        <f>ROUND(BF65,0)</f>
        <v>321784</v>
      </c>
      <c r="I788" s="281">
        <f>ROUND(BF66,0)</f>
        <v>139906</v>
      </c>
      <c r="J788" s="281">
        <f>ROUND(BF67,0)</f>
        <v>6039</v>
      </c>
      <c r="K788" s="281">
        <f>ROUND(BF68,0)</f>
        <v>80511</v>
      </c>
      <c r="L788" s="281">
        <f>ROUND(BF70,0)</f>
        <v>0</v>
      </c>
      <c r="M788" s="281">
        <f>ROUND(BF71,0)</f>
        <v>2399676</v>
      </c>
      <c r="N788" s="281"/>
      <c r="O788" s="281"/>
      <c r="P788" s="281">
        <f>IF(BF77&gt;0,ROUND(BF77,0),0)</f>
        <v>0</v>
      </c>
      <c r="Q788" s="281">
        <f>IF(BF78&gt;0,ROUND(BF78,0),0)</f>
        <v>1315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5">
      <c r="A789" s="209" t="str">
        <f>RIGHT($C$84,3)&amp;"*"&amp;RIGHT($C$83,4)&amp;"*"&amp;BG$55&amp;"*"&amp;"A"</f>
        <v>tal*205*8470*A</v>
      </c>
      <c r="B789" s="281"/>
      <c r="C789" s="284">
        <f>ROUND(BG60,2)</f>
        <v>17.41</v>
      </c>
      <c r="D789" s="281">
        <f>ROUND(BG61,0)</f>
        <v>693565</v>
      </c>
      <c r="E789" s="281">
        <f>ROUND(BG62,0)</f>
        <v>258288</v>
      </c>
      <c r="F789" s="281">
        <f>ROUND(BG63,0)</f>
        <v>0</v>
      </c>
      <c r="G789" s="281">
        <f>ROUND(BG64,0)</f>
        <v>3217</v>
      </c>
      <c r="H789" s="281">
        <f>ROUND(BG65,0)</f>
        <v>2322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958553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5">
      <c r="A790" s="209" t="str">
        <f>RIGHT($C$84,3)&amp;"*"&amp;RIGHT($C$83,4)&amp;"*"&amp;BH$55&amp;"*"&amp;"A"</f>
        <v>tal*205*8480*A</v>
      </c>
      <c r="B790" s="281"/>
      <c r="C790" s="284">
        <f>ROUND(BH60,2)</f>
        <v>0</v>
      </c>
      <c r="D790" s="281">
        <f>ROUND(BH61,0)</f>
        <v>0</v>
      </c>
      <c r="E790" s="281">
        <f>ROUND(BH62,0)</f>
        <v>0</v>
      </c>
      <c r="F790" s="281">
        <f>ROUND(BH63,0)</f>
        <v>0</v>
      </c>
      <c r="G790" s="281">
        <f>ROUND(BH64,0)</f>
        <v>0</v>
      </c>
      <c r="H790" s="281">
        <f>ROUND(BH65,0)</f>
        <v>2005</v>
      </c>
      <c r="I790" s="281">
        <f>ROUND(BH66,0)</f>
        <v>784</v>
      </c>
      <c r="J790" s="281">
        <f>ROUND(BH67,0)</f>
        <v>252417</v>
      </c>
      <c r="K790" s="281">
        <f>ROUND(BH68,0)</f>
        <v>18896</v>
      </c>
      <c r="L790" s="281">
        <f>ROUND(BH70,0)</f>
        <v>0</v>
      </c>
      <c r="M790" s="281">
        <f>ROUND(BH71,0)</f>
        <v>274102</v>
      </c>
      <c r="N790" s="281"/>
      <c r="O790" s="281"/>
      <c r="P790" s="281">
        <f>IF(BH77&gt;0,ROUND(BH77,0),0)</f>
        <v>0</v>
      </c>
      <c r="Q790" s="281">
        <f>IF(BH78&gt;0,ROUND(BH78,0),0)</f>
        <v>3673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5">
      <c r="A791" s="209" t="str">
        <f>RIGHT($C$84,3)&amp;"*"&amp;RIGHT($C$83,4)&amp;"*"&amp;BI$55&amp;"*"&amp;"A"</f>
        <v>tal*205*8490*A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5">
      <c r="A792" s="209" t="str">
        <f>RIGHT($C$84,3)&amp;"*"&amp;RIGHT($C$83,4)&amp;"*"&amp;BJ$55&amp;"*"&amp;"A"</f>
        <v>tal*205*8510*A</v>
      </c>
      <c r="B792" s="281"/>
      <c r="C792" s="284">
        <f>ROUND(BJ60,2)</f>
        <v>0</v>
      </c>
      <c r="D792" s="281">
        <f>ROUND(BJ61,0)</f>
        <v>0</v>
      </c>
      <c r="E792" s="281">
        <f>ROUND(BJ62,0)</f>
        <v>0</v>
      </c>
      <c r="F792" s="281">
        <f>ROUND(BJ63,0)</f>
        <v>0</v>
      </c>
      <c r="G792" s="281">
        <f>ROUND(BJ64,0)</f>
        <v>0</v>
      </c>
      <c r="H792" s="281">
        <f>ROUND(BJ65,0)</f>
        <v>0</v>
      </c>
      <c r="I792" s="281">
        <f>ROUND(BJ66,0)</f>
        <v>0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0</v>
      </c>
      <c r="N792" s="281"/>
      <c r="O792" s="281"/>
      <c r="P792" s="281">
        <f>IF(BJ77&gt;0,ROUND(BJ77,0),0)</f>
        <v>0</v>
      </c>
      <c r="Q792" s="281">
        <f>IF(BJ78&gt;0,ROUND(BJ78,0),0)</f>
        <v>587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5">
      <c r="A793" s="209" t="str">
        <f>RIGHT($C$84,3)&amp;"*"&amp;RIGHT($C$83,4)&amp;"*"&amp;BK$55&amp;"*"&amp;"A"</f>
        <v>tal*205*8530*A</v>
      </c>
      <c r="B793" s="281"/>
      <c r="C793" s="284">
        <f>ROUND(BK60,2)</f>
        <v>2.36</v>
      </c>
      <c r="D793" s="281">
        <f>ROUND(BK61,0)</f>
        <v>104196</v>
      </c>
      <c r="E793" s="281">
        <f>ROUND(BK62,0)</f>
        <v>38329</v>
      </c>
      <c r="F793" s="281">
        <f>ROUND(BK63,0)</f>
        <v>0</v>
      </c>
      <c r="G793" s="281">
        <f>ROUND(BK64,0)</f>
        <v>0</v>
      </c>
      <c r="H793" s="281">
        <f>ROUND(BK65,0)</f>
        <v>640</v>
      </c>
      <c r="I793" s="281">
        <f>ROUND(BK66,0)</f>
        <v>0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143170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5">
      <c r="A794" s="209" t="str">
        <f>RIGHT($C$84,3)&amp;"*"&amp;RIGHT($C$83,4)&amp;"*"&amp;BL$55&amp;"*"&amp;"A"</f>
        <v>tal*205*8560*A</v>
      </c>
      <c r="B794" s="281"/>
      <c r="C794" s="284">
        <f>ROUND(BL60,2)</f>
        <v>0</v>
      </c>
      <c r="D794" s="281">
        <f>ROUND(BL61,0)</f>
        <v>0</v>
      </c>
      <c r="E794" s="281">
        <f>ROUND(BL62,0)</f>
        <v>0</v>
      </c>
      <c r="F794" s="281">
        <f>ROUND(BL63,0)</f>
        <v>0</v>
      </c>
      <c r="G794" s="281">
        <f>ROUND(BL64,0)</f>
        <v>0</v>
      </c>
      <c r="H794" s="281">
        <f>ROUND(BL65,0)</f>
        <v>0</v>
      </c>
      <c r="I794" s="281">
        <f>ROUND(BL66,0)</f>
        <v>0</v>
      </c>
      <c r="J794" s="281">
        <f>ROUND(BL67,0)</f>
        <v>0</v>
      </c>
      <c r="K794" s="281">
        <f>ROUND(BL68,0)</f>
        <v>0</v>
      </c>
      <c r="L794" s="281">
        <f>ROUND(BL70,0)</f>
        <v>0</v>
      </c>
      <c r="M794" s="281">
        <f>ROUND(BL71,0)</f>
        <v>0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5">
      <c r="A795" s="209" t="str">
        <f>RIGHT($C$84,3)&amp;"*"&amp;RIGHT($C$83,4)&amp;"*"&amp;BM$55&amp;"*"&amp;"A"</f>
        <v>tal*205*8590*A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5">
      <c r="A796" s="209" t="str">
        <f>RIGHT($C$84,3)&amp;"*"&amp;RIGHT($C$83,4)&amp;"*"&amp;BN$55&amp;"*"&amp;"A"</f>
        <v>tal*205*8610*A</v>
      </c>
      <c r="B796" s="281"/>
      <c r="C796" s="284">
        <f>ROUND(BN60,2)</f>
        <v>0.7</v>
      </c>
      <c r="D796" s="281">
        <f>ROUND(BN61,0)</f>
        <v>1271282</v>
      </c>
      <c r="E796" s="281">
        <f>ROUND(BN62,0)</f>
        <v>483437</v>
      </c>
      <c r="F796" s="281">
        <f>ROUND(BN63,0)</f>
        <v>120708295</v>
      </c>
      <c r="G796" s="281">
        <f>ROUND(BN64,0)</f>
        <v>2287152</v>
      </c>
      <c r="H796" s="281">
        <f>ROUND(BN65,0)</f>
        <v>71262</v>
      </c>
      <c r="I796" s="281">
        <f>ROUND(BN66,0)</f>
        <v>135775</v>
      </c>
      <c r="J796" s="281">
        <f>ROUND(BN67,0)</f>
        <v>267995</v>
      </c>
      <c r="K796" s="281">
        <f>ROUND(BN68,0)</f>
        <v>268467</v>
      </c>
      <c r="L796" s="281">
        <f>ROUND(BN70,0)</f>
        <v>0</v>
      </c>
      <c r="M796" s="281">
        <f>ROUND(BN71,0)</f>
        <v>131137098</v>
      </c>
      <c r="N796" s="281"/>
      <c r="O796" s="281"/>
      <c r="P796" s="281">
        <f>IF(BN77&gt;0,ROUND(BN77,0),0)</f>
        <v>0</v>
      </c>
      <c r="Q796" s="281">
        <f>IF(BN78&gt;0,ROUND(BN78,0),0)</f>
        <v>18469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5">
      <c r="A797" s="209" t="str">
        <f>RIGHT($C$84,3)&amp;"*"&amp;RIGHT($C$83,4)&amp;"*"&amp;BO$55&amp;"*"&amp;"A"</f>
        <v>tal*205*8620*A</v>
      </c>
      <c r="B797" s="281"/>
      <c r="C797" s="284">
        <f>ROUND(BO60,2)</f>
        <v>1.01</v>
      </c>
      <c r="D797" s="281">
        <f>ROUND(BO61,0)</f>
        <v>79593</v>
      </c>
      <c r="E797" s="281">
        <f>ROUND(BO62,0)</f>
        <v>22442</v>
      </c>
      <c r="F797" s="281">
        <f>ROUND(BO63,0)</f>
        <v>0</v>
      </c>
      <c r="G797" s="281">
        <f>ROUND(BO64,0)</f>
        <v>7692</v>
      </c>
      <c r="H797" s="281">
        <f>ROUND(BO65,0)</f>
        <v>0</v>
      </c>
      <c r="I797" s="281">
        <f>ROUND(BO66,0)</f>
        <v>116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110309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5">
      <c r="A798" s="209" t="str">
        <f>RIGHT($C$84,3)&amp;"*"&amp;RIGHT($C$83,4)&amp;"*"&amp;BP$55&amp;"*"&amp;"A"</f>
        <v>tal*205*8630*A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5">
      <c r="A799" s="209" t="str">
        <f>RIGHT($C$84,3)&amp;"*"&amp;RIGHT($C$83,4)&amp;"*"&amp;BQ$55&amp;"*"&amp;"A"</f>
        <v>tal*205*8640*A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5">
      <c r="A800" s="209" t="str">
        <f>RIGHT($C$84,3)&amp;"*"&amp;RIGHT($C$83,4)&amp;"*"&amp;BR$55&amp;"*"&amp;"A"</f>
        <v>tal*205*8650*A</v>
      </c>
      <c r="B800" s="281"/>
      <c r="C800" s="284">
        <f>ROUND(BR60,2)</f>
        <v>0</v>
      </c>
      <c r="D800" s="281">
        <f>ROUND(BR61,0)</f>
        <v>0</v>
      </c>
      <c r="E800" s="281">
        <f>ROUND(BR62,0)</f>
        <v>0</v>
      </c>
      <c r="F800" s="281">
        <f>ROUND(BR63,0)</f>
        <v>156</v>
      </c>
      <c r="G800" s="281">
        <f>ROUND(BR64,0)</f>
        <v>0</v>
      </c>
      <c r="H800" s="281">
        <f>ROUND(BR65,0)</f>
        <v>0</v>
      </c>
      <c r="I800" s="281">
        <f>ROUND(BR66,0)</f>
        <v>0</v>
      </c>
      <c r="J800" s="281">
        <f>ROUND(BR67,0)</f>
        <v>0</v>
      </c>
      <c r="K800" s="281">
        <f>ROUND(BR68,0)</f>
        <v>0</v>
      </c>
      <c r="L800" s="281">
        <f>ROUND(BR70,0)</f>
        <v>0</v>
      </c>
      <c r="M800" s="281">
        <f>ROUND(BR71,0)</f>
        <v>156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5">
      <c r="A801" s="209" t="str">
        <f>RIGHT($C$84,3)&amp;"*"&amp;RIGHT($C$83,4)&amp;"*"&amp;BS$55&amp;"*"&amp;"A"</f>
        <v>tal*205*8660*A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5">
      <c r="A802" s="209" t="str">
        <f>RIGHT($C$84,3)&amp;"*"&amp;RIGHT($C$83,4)&amp;"*"&amp;BT$55&amp;"*"&amp;"A"</f>
        <v>tal*205*8670*A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5">
      <c r="A803" s="209" t="str">
        <f>RIGHT($C$84,3)&amp;"*"&amp;RIGHT($C$83,4)&amp;"*"&amp;BU$55&amp;"*"&amp;"A"</f>
        <v>tal*205*8680*A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5">
      <c r="A804" s="209" t="str">
        <f>RIGHT($C$84,3)&amp;"*"&amp;RIGHT($C$83,4)&amp;"*"&amp;BV$55&amp;"*"&amp;"A"</f>
        <v>tal*205*8690*A</v>
      </c>
      <c r="B804" s="281"/>
      <c r="C804" s="284">
        <f>ROUND(BV60,2)</f>
        <v>4.09</v>
      </c>
      <c r="D804" s="281">
        <f>ROUND(BV61,0)</f>
        <v>160549</v>
      </c>
      <c r="E804" s="281">
        <f>ROUND(BV62,0)</f>
        <v>66686</v>
      </c>
      <c r="F804" s="281">
        <f>ROUND(BV63,0)</f>
        <v>0</v>
      </c>
      <c r="G804" s="281">
        <f>ROUND(BV64,0)</f>
        <v>150</v>
      </c>
      <c r="H804" s="281">
        <f>ROUND(BV65,0)</f>
        <v>0</v>
      </c>
      <c r="I804" s="281">
        <f>ROUND(BV66,0)</f>
        <v>0</v>
      </c>
      <c r="J804" s="281">
        <f>ROUND(BV67,0)</f>
        <v>0</v>
      </c>
      <c r="K804" s="281">
        <f>ROUND(BV68,0)</f>
        <v>0</v>
      </c>
      <c r="L804" s="281">
        <f>ROUND(BV70,0)</f>
        <v>0</v>
      </c>
      <c r="M804" s="281">
        <f>ROUND(BV71,0)</f>
        <v>227516</v>
      </c>
      <c r="N804" s="281"/>
      <c r="O804" s="281"/>
      <c r="P804" s="281">
        <f>IF(BV77&gt;0,ROUND(BV77,0),0)</f>
        <v>0</v>
      </c>
      <c r="Q804" s="281">
        <f>IF(BV78&gt;0,ROUND(BV78,0),0)</f>
        <v>17502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5">
      <c r="A805" s="209" t="str">
        <f>RIGHT($C$84,3)&amp;"*"&amp;RIGHT($C$83,4)&amp;"*"&amp;BW$55&amp;"*"&amp;"A"</f>
        <v>tal*205*8700*A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5">
      <c r="A806" s="209" t="str">
        <f>RIGHT($C$84,3)&amp;"*"&amp;RIGHT($C$83,4)&amp;"*"&amp;BX$55&amp;"*"&amp;"A"</f>
        <v>tal*205*8710*A</v>
      </c>
      <c r="B806" s="281"/>
      <c r="C806" s="284">
        <f>ROUND(BX60,2)</f>
        <v>0</v>
      </c>
      <c r="D806" s="281">
        <f>ROUND(BX61,0)</f>
        <v>0</v>
      </c>
      <c r="E806" s="281">
        <f>ROUND(BX62,0)</f>
        <v>0</v>
      </c>
      <c r="F806" s="281">
        <f>ROUND(BX63,0)</f>
        <v>0</v>
      </c>
      <c r="G806" s="281">
        <f>ROUND(BX64,0)</f>
        <v>0</v>
      </c>
      <c r="H806" s="281">
        <f>ROUND(BX65,0)</f>
        <v>0</v>
      </c>
      <c r="I806" s="281">
        <f>ROUND(BX66,0)</f>
        <v>0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0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5">
      <c r="A807" s="209" t="str">
        <f>RIGHT($C$84,3)&amp;"*"&amp;RIGHT($C$83,4)&amp;"*"&amp;BY$55&amp;"*"&amp;"A"</f>
        <v>tal*205*8720*A</v>
      </c>
      <c r="B807" s="281"/>
      <c r="C807" s="284">
        <f>ROUND(BY60,2)</f>
        <v>0</v>
      </c>
      <c r="D807" s="281">
        <f>ROUND(BY61,0)</f>
        <v>0</v>
      </c>
      <c r="E807" s="281">
        <f>ROUND(BY62,0)</f>
        <v>0</v>
      </c>
      <c r="F807" s="281">
        <f>ROUND(BY63,0)</f>
        <v>0</v>
      </c>
      <c r="G807" s="281">
        <f>ROUND(BY64,0)</f>
        <v>0</v>
      </c>
      <c r="H807" s="281">
        <f>ROUND(BY65,0)</f>
        <v>0</v>
      </c>
      <c r="I807" s="281">
        <f>ROUND(BY66,0)</f>
        <v>0</v>
      </c>
      <c r="J807" s="281">
        <f>ROUND(BY67,0)</f>
        <v>0</v>
      </c>
      <c r="K807" s="281">
        <f>ROUND(BY68,0)</f>
        <v>0</v>
      </c>
      <c r="L807" s="281">
        <f>ROUND(BY70,0)</f>
        <v>0</v>
      </c>
      <c r="M807" s="281">
        <f>ROUND(BY71,0)</f>
        <v>0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5">
      <c r="A808" s="209" t="str">
        <f>RIGHT($C$84,3)&amp;"*"&amp;RIGHT($C$83,4)&amp;"*"&amp;BZ$55&amp;"*"&amp;"A"</f>
        <v>tal*205*8730*A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5">
      <c r="A809" s="209" t="str">
        <f>RIGHT($C$84,3)&amp;"*"&amp;RIGHT($C$83,4)&amp;"*"&amp;CA$55&amp;"*"&amp;"A"</f>
        <v>tal*205*8740*A</v>
      </c>
      <c r="B809" s="281"/>
      <c r="C809" s="284">
        <f>ROUND(CA60,2)</f>
        <v>0</v>
      </c>
      <c r="D809" s="281">
        <f>ROUND(CA61,0)</f>
        <v>0</v>
      </c>
      <c r="E809" s="281">
        <f>ROUND(CA62,0)</f>
        <v>0</v>
      </c>
      <c r="F809" s="281">
        <f>ROUND(CA63,0)</f>
        <v>0</v>
      </c>
      <c r="G809" s="281">
        <f>ROUND(CA64,0)</f>
        <v>0</v>
      </c>
      <c r="H809" s="281">
        <f>ROUND(CA65,0)</f>
        <v>0</v>
      </c>
      <c r="I809" s="281">
        <f>ROUND(CA66,0)</f>
        <v>0</v>
      </c>
      <c r="J809" s="281">
        <f>ROUND(CA67,0)</f>
        <v>0</v>
      </c>
      <c r="K809" s="281">
        <f>ROUND(CA68,0)</f>
        <v>0</v>
      </c>
      <c r="L809" s="281">
        <f>ROUND(CA70,0)</f>
        <v>0</v>
      </c>
      <c r="M809" s="281">
        <f>ROUND(CA71,0)</f>
        <v>0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5">
      <c r="A810" s="209" t="str">
        <f>RIGHT($C$84,3)&amp;"*"&amp;RIGHT($C$83,4)&amp;"*"&amp;CB$55&amp;"*"&amp;"A"</f>
        <v>tal*205*8770*A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2983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5">
      <c r="A811" s="209" t="str">
        <f>RIGHT($C$84,3)&amp;"*"&amp;RIGHT($C$83,4)&amp;"*"&amp;CC$55&amp;"*"&amp;"A"</f>
        <v>tal*205*8790*A</v>
      </c>
      <c r="B811" s="281"/>
      <c r="C811" s="284">
        <f>ROUND(CC60,2)</f>
        <v>2.99</v>
      </c>
      <c r="D811" s="281">
        <f>ROUND(CC61,0)</f>
        <v>76661</v>
      </c>
      <c r="E811" s="281">
        <f>ROUND(CC62,0)</f>
        <v>27747</v>
      </c>
      <c r="F811" s="281">
        <f>ROUND(CC63,0)</f>
        <v>-1049285</v>
      </c>
      <c r="G811" s="281">
        <f>ROUND(CC64,0)</f>
        <v>526</v>
      </c>
      <c r="H811" s="281">
        <f>ROUND(CC65,0)</f>
        <v>676</v>
      </c>
      <c r="I811" s="281">
        <f>ROUND(CC66,0)</f>
        <v>288493</v>
      </c>
      <c r="J811" s="281">
        <f>ROUND(CC67,0)</f>
        <v>0</v>
      </c>
      <c r="K811" s="281">
        <f>ROUND(CC68,0)</f>
        <v>16590</v>
      </c>
      <c r="L811" s="281">
        <f>ROUND(CC70,0)</f>
        <v>0</v>
      </c>
      <c r="M811" s="281">
        <f>ROUND(CC71,0)</f>
        <v>-361729</v>
      </c>
      <c r="N811" s="281"/>
      <c r="O811" s="281"/>
      <c r="P811" s="281">
        <f>IF(CC77&gt;0,ROUND(CC77,0),0)</f>
        <v>0</v>
      </c>
      <c r="Q811" s="281">
        <f>IF(CC78&gt;0,ROUND(CC78,0),0)</f>
        <v>31318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5">
      <c r="A812" s="209" t="str">
        <f>RIGHT($C$84,3)&amp;"*"&amp;RIGHT($C$83,4)&amp;"*"&amp;"9000"&amp;"*"&amp;"A"</f>
        <v>tal*205*9000*A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22987690</v>
      </c>
      <c r="V812" s="180">
        <f>ROUND(CD69,0)</f>
        <v>0</v>
      </c>
      <c r="W812" s="180">
        <f>ROUND(CD71,0)</f>
        <v>-22987690</v>
      </c>
      <c r="X812" s="281">
        <f>ROUND(CE73,0)</f>
        <v>22866970</v>
      </c>
      <c r="Y812" s="281">
        <f>ROUND(C132,0)</f>
        <v>0</v>
      </c>
      <c r="Z812" s="281"/>
    </row>
    <row r="814" spans="1:26" ht="12.65" customHeight="1" x14ac:dyDescent="0.35">
      <c r="B814" s="199" t="s">
        <v>1004</v>
      </c>
      <c r="C814" s="262">
        <f t="shared" ref="C814:K814" si="22">SUM(C733:C812)</f>
        <v>1125.8799999999999</v>
      </c>
      <c r="D814" s="180">
        <f t="shared" si="22"/>
        <v>74796533</v>
      </c>
      <c r="E814" s="180">
        <f t="shared" si="22"/>
        <v>23192796</v>
      </c>
      <c r="F814" s="180">
        <f t="shared" si="22"/>
        <v>123923472</v>
      </c>
      <c r="G814" s="180">
        <f t="shared" si="22"/>
        <v>33373329</v>
      </c>
      <c r="H814" s="180">
        <f t="shared" si="22"/>
        <v>1234989</v>
      </c>
      <c r="I814" s="180">
        <f t="shared" si="22"/>
        <v>15801022</v>
      </c>
      <c r="J814" s="180">
        <f t="shared" si="22"/>
        <v>2674254</v>
      </c>
      <c r="K814" s="180">
        <f t="shared" si="22"/>
        <v>8614815</v>
      </c>
      <c r="L814" s="180">
        <f>SUM(L733:L812)+SUM(U733:U812)</f>
        <v>22987690</v>
      </c>
      <c r="M814" s="180">
        <f>SUM(M733:M812)+SUM(W733:W812)</f>
        <v>271421371</v>
      </c>
      <c r="N814" s="180">
        <f t="shared" ref="N814:Z814" si="23">SUM(N733:N812)</f>
        <v>285192</v>
      </c>
      <c r="O814" s="180">
        <f t="shared" si="23"/>
        <v>534976559</v>
      </c>
      <c r="P814" s="180">
        <f t="shared" si="23"/>
        <v>6915</v>
      </c>
      <c r="Q814" s="180">
        <f t="shared" si="23"/>
        <v>375361</v>
      </c>
      <c r="R814" s="180">
        <f t="shared" si="23"/>
        <v>345920</v>
      </c>
      <c r="S814" s="180">
        <f t="shared" si="23"/>
        <v>201</v>
      </c>
      <c r="T814" s="262">
        <f t="shared" si="23"/>
        <v>0</v>
      </c>
      <c r="U814" s="180">
        <f t="shared" si="23"/>
        <v>22987690</v>
      </c>
      <c r="V814" s="180">
        <f t="shared" si="23"/>
        <v>0</v>
      </c>
      <c r="W814" s="180">
        <f t="shared" si="23"/>
        <v>-22987690</v>
      </c>
      <c r="X814" s="180">
        <f t="shared" si="23"/>
        <v>22866970</v>
      </c>
      <c r="Y814" s="180">
        <f t="shared" si="23"/>
        <v>0</v>
      </c>
      <c r="Z814" s="180">
        <f t="shared" si="23"/>
        <v>110473658</v>
      </c>
    </row>
    <row r="815" spans="1:26" ht="12.65" customHeight="1" x14ac:dyDescent="0.35">
      <c r="B815" s="180" t="s">
        <v>1005</v>
      </c>
      <c r="C815" s="262">
        <f>CE60</f>
        <v>1125.8799999999999</v>
      </c>
      <c r="D815" s="180">
        <f>CE61</f>
        <v>74796533</v>
      </c>
      <c r="E815" s="180">
        <f>CE62</f>
        <v>23192796</v>
      </c>
      <c r="F815" s="180">
        <f>CE63</f>
        <v>123923472</v>
      </c>
      <c r="G815" s="180">
        <f>CE64</f>
        <v>33373328.68</v>
      </c>
      <c r="H815" s="239">
        <f>CE65</f>
        <v>1234989</v>
      </c>
      <c r="I815" s="239">
        <f>CE66</f>
        <v>15801022</v>
      </c>
      <c r="J815" s="239">
        <f>CE67</f>
        <v>2674254</v>
      </c>
      <c r="K815" s="239">
        <f>CE68</f>
        <v>8614815</v>
      </c>
      <c r="L815" s="239">
        <f>CE70</f>
        <v>22987690</v>
      </c>
      <c r="M815" s="239">
        <f>CE71</f>
        <v>271421370.68000001</v>
      </c>
      <c r="N815" s="180">
        <f>CE76</f>
        <v>375361</v>
      </c>
      <c r="O815" s="180">
        <f>CE74</f>
        <v>534976559</v>
      </c>
      <c r="P815" s="180">
        <f>CE77</f>
        <v>6915</v>
      </c>
      <c r="Q815" s="180">
        <f>CE78</f>
        <v>375361</v>
      </c>
      <c r="R815" s="180">
        <f>CE79</f>
        <v>345920</v>
      </c>
      <c r="S815" s="180">
        <f>CE80</f>
        <v>201.88</v>
      </c>
      <c r="T815" s="262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115236646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74796766</v>
      </c>
      <c r="G816" s="239">
        <f>C379</f>
        <v>23191895</v>
      </c>
      <c r="H816" s="239">
        <f>C380</f>
        <v>123923475</v>
      </c>
      <c r="I816" s="239">
        <f>C381</f>
        <v>33373332</v>
      </c>
      <c r="J816" s="239">
        <f>C382</f>
        <v>1234989</v>
      </c>
      <c r="K816" s="239">
        <f>C383</f>
        <v>15801022</v>
      </c>
      <c r="L816" s="239">
        <f>C384+C385+C386+C388</f>
        <v>16382438</v>
      </c>
      <c r="M816" s="239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Confluence Health: Wenatchee Valley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H-205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1201 S. Miller St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Wenatchee, WA 98801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H-205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Confluence Health: Wenatchee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Dr. Peter Rutherford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Tom Legal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509-663-8711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526</v>
      </c>
      <c r="G23" s="21">
        <f>data!D111</f>
        <v>1980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9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Confluence Health: Wenatchee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200</v>
      </c>
      <c r="C7" s="48">
        <f>data!B139</f>
        <v>1258</v>
      </c>
      <c r="D7" s="48">
        <f>data!B140</f>
        <v>0</v>
      </c>
      <c r="E7" s="48">
        <f>data!B141</f>
        <v>10884039</v>
      </c>
      <c r="F7" s="48">
        <f>data!B142</f>
        <v>191122584</v>
      </c>
      <c r="G7" s="48">
        <f>data!B141+data!B142</f>
        <v>202006623</v>
      </c>
    </row>
    <row r="8" spans="1:13" ht="20.149999999999999" customHeight="1" x14ac:dyDescent="0.35">
      <c r="A8" s="23" t="s">
        <v>297</v>
      </c>
      <c r="B8" s="48">
        <f>data!C138</f>
        <v>41</v>
      </c>
      <c r="C8" s="48">
        <f>data!C139</f>
        <v>397</v>
      </c>
      <c r="D8" s="48">
        <f>data!C140</f>
        <v>0</v>
      </c>
      <c r="E8" s="48">
        <f>data!C141</f>
        <v>2370347</v>
      </c>
      <c r="F8" s="48">
        <f>data!C142</f>
        <v>74062429</v>
      </c>
      <c r="G8" s="48">
        <f>data!C141+data!C142</f>
        <v>76432776</v>
      </c>
    </row>
    <row r="9" spans="1:13" ht="20.149999999999999" customHeight="1" x14ac:dyDescent="0.35">
      <c r="A9" s="23" t="s">
        <v>1058</v>
      </c>
      <c r="B9" s="48">
        <f>data!D138</f>
        <v>80</v>
      </c>
      <c r="C9" s="48">
        <f>data!D139</f>
        <v>325</v>
      </c>
      <c r="D9" s="48">
        <f>data!D140</f>
        <v>0</v>
      </c>
      <c r="E9" s="48">
        <f>data!D141</f>
        <v>5337009</v>
      </c>
      <c r="F9" s="48">
        <f>data!D142</f>
        <v>170837592</v>
      </c>
      <c r="G9" s="48">
        <f>data!D141+data!D142</f>
        <v>176174601</v>
      </c>
    </row>
    <row r="10" spans="1:13" ht="20.149999999999999" customHeight="1" x14ac:dyDescent="0.35">
      <c r="A10" s="111" t="s">
        <v>203</v>
      </c>
      <c r="B10" s="48">
        <f>data!E138</f>
        <v>321</v>
      </c>
      <c r="C10" s="48">
        <f>data!E139</f>
        <v>1980</v>
      </c>
      <c r="D10" s="48">
        <f>data!E140</f>
        <v>0</v>
      </c>
      <c r="E10" s="48">
        <f>data!E141</f>
        <v>18591395</v>
      </c>
      <c r="F10" s="48">
        <f>data!E142</f>
        <v>436022605</v>
      </c>
      <c r="G10" s="48">
        <f>data!E141+data!E142</f>
        <v>454614000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Confluence Health: Wenatchee Valley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5232761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313959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564542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14132287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52710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3654860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1639218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25590337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8251738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152272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8404010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2046556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412203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2458759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25548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2650435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2675983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1040011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1040011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Confluence Health: Wenatchee Valley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123086</v>
      </c>
      <c r="D7" s="21">
        <f>data!C195</f>
        <v>116908</v>
      </c>
      <c r="E7" s="21">
        <f>data!D195</f>
        <v>0</v>
      </c>
      <c r="F7" s="21">
        <f>data!E195</f>
        <v>239994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129369</v>
      </c>
      <c r="D8" s="21">
        <f>data!C196</f>
        <v>0</v>
      </c>
      <c r="E8" s="21">
        <f>data!D196</f>
        <v>-289123</v>
      </c>
      <c r="F8" s="21">
        <f>data!E196</f>
        <v>418492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287380</v>
      </c>
      <c r="D9" s="21">
        <f>data!C197</f>
        <v>364393</v>
      </c>
      <c r="E9" s="21">
        <f>data!D197</f>
        <v>0</v>
      </c>
      <c r="F9" s="21">
        <f>data!E197</f>
        <v>651773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3217436</v>
      </c>
      <c r="D10" s="21">
        <f>data!C198</f>
        <v>303841</v>
      </c>
      <c r="E10" s="21">
        <f>data!D198</f>
        <v>112811.59</v>
      </c>
      <c r="F10" s="21">
        <f>data!E198</f>
        <v>3408465.41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4436456</v>
      </c>
      <c r="D11" s="21">
        <f>data!C199</f>
        <v>80388</v>
      </c>
      <c r="E11" s="21">
        <f>data!D199</f>
        <v>288026</v>
      </c>
      <c r="F11" s="21">
        <f>data!E199</f>
        <v>4228818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17280289</v>
      </c>
      <c r="D12" s="21">
        <f>data!C200</f>
        <v>643254</v>
      </c>
      <c r="E12" s="21">
        <f>data!D200</f>
        <v>645174</v>
      </c>
      <c r="F12" s="21">
        <f>data!E200</f>
        <v>17278369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6563543</v>
      </c>
      <c r="D15" s="21">
        <f>data!C203</f>
        <v>3859278</v>
      </c>
      <c r="E15" s="21">
        <f>data!D203</f>
        <v>0</v>
      </c>
      <c r="F15" s="21">
        <f>data!E203</f>
        <v>10422821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32037559</v>
      </c>
      <c r="D16" s="21">
        <f>data!C204</f>
        <v>5368062</v>
      </c>
      <c r="E16" s="21">
        <f>data!D204</f>
        <v>756888.59</v>
      </c>
      <c r="F16" s="21">
        <f>data!E204</f>
        <v>36648732.409999996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20568</v>
      </c>
      <c r="D24" s="21">
        <f>data!C209</f>
        <v>29677</v>
      </c>
      <c r="E24" s="21">
        <f>data!D209</f>
        <v>-122077</v>
      </c>
      <c r="F24" s="21">
        <f>data!E209</f>
        <v>172322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73880</v>
      </c>
      <c r="D25" s="21">
        <f>data!C210</f>
        <v>6000</v>
      </c>
      <c r="E25" s="21">
        <f>data!D210</f>
        <v>0</v>
      </c>
      <c r="F25" s="21">
        <f>data!E210</f>
        <v>79880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636163</v>
      </c>
      <c r="D26" s="21">
        <f>data!C211</f>
        <v>208017</v>
      </c>
      <c r="E26" s="21">
        <f>data!D211</f>
        <v>17503</v>
      </c>
      <c r="F26" s="21">
        <f>data!E211</f>
        <v>826677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1841508</v>
      </c>
      <c r="D27" s="21">
        <f>data!C212</f>
        <v>508967</v>
      </c>
      <c r="E27" s="21">
        <f>data!D212</f>
        <v>11022</v>
      </c>
      <c r="F27" s="21">
        <f>data!E212</f>
        <v>2339453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10403424</v>
      </c>
      <c r="D28" s="21">
        <f>data!C213</f>
        <v>1605835</v>
      </c>
      <c r="E28" s="21">
        <f>data!D213</f>
        <v>145055</v>
      </c>
      <c r="F28" s="21">
        <f>data!E213</f>
        <v>11864204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12975543</v>
      </c>
      <c r="D32" s="21">
        <f>data!C217</f>
        <v>2358496</v>
      </c>
      <c r="E32" s="21">
        <f>data!D217</f>
        <v>51503</v>
      </c>
      <c r="F32" s="21">
        <f>data!E217</f>
        <v>15282536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Confluence Health: Wenatchee Valley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4316512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130780382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52307746.700000003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5408538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467509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4316512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35204608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228485295.69999999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4174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950984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2655841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3606825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-5797361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5238641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235849912.69999999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Confluence Health: Wenatchee Valley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11588880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26070793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3457659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3900929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1265502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1762411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48046174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2000000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2000000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239994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418492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651773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3408465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4228818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17278369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10361830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36587741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15282532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21305209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47409180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47409180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118760563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Confluence Health: Wenatchee Valley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5518708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4414337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6489201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10107904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37342194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63872344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19911693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46710578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66622271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66622271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-11734052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-11734052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118760563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Confluence Health: Wenatchee Valley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16221048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438392952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454614000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4316512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222687938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3606825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5238641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235849916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218764084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26639325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26639325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245403409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73290684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25590337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104018921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22757883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1142066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15477376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2490864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8263067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2455759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2132331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1040011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2567061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261226360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-15822951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-15822951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-15822951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Confluence Health: Wenatchee Valley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526</v>
      </c>
      <c r="F9" s="14">
        <f>data!F59</f>
        <v>0</v>
      </c>
      <c r="G9" s="14">
        <f>data!G59</f>
        <v>1454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14.97</v>
      </c>
      <c r="F10" s="26">
        <f>data!F60</f>
        <v>0</v>
      </c>
      <c r="G10" s="26">
        <f>data!G60</f>
        <v>20.54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1118217.3</v>
      </c>
      <c r="F11" s="14">
        <f>data!F61</f>
        <v>0</v>
      </c>
      <c r="G11" s="14">
        <f>data!G61</f>
        <v>1595314.1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360987</v>
      </c>
      <c r="F12" s="14">
        <f>data!F62</f>
        <v>0</v>
      </c>
      <c r="G12" s="14">
        <f>data!G62</f>
        <v>520851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30535.5</v>
      </c>
      <c r="F13" s="14">
        <f>data!F63</f>
        <v>0</v>
      </c>
      <c r="G13" s="14">
        <f>data!G63</f>
        <v>15306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99538.31</v>
      </c>
      <c r="F14" s="14">
        <f>data!F64</f>
        <v>0</v>
      </c>
      <c r="G14" s="14">
        <f>data!G64</f>
        <v>24076.9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11169.62</v>
      </c>
      <c r="F15" s="14">
        <f>data!F65</f>
        <v>0</v>
      </c>
      <c r="G15" s="14">
        <f>data!G65</f>
        <v>10339.1</v>
      </c>
      <c r="H15" s="14">
        <f>data!H65</f>
        <v>0</v>
      </c>
      <c r="I15" s="14">
        <f>data!I65</f>
        <v>0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18539.939999999999</v>
      </c>
      <c r="F16" s="14">
        <f>data!F66</f>
        <v>0</v>
      </c>
      <c r="G16" s="14">
        <f>data!G66</f>
        <v>56427.57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24055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173896.56</v>
      </c>
      <c r="F18" s="14">
        <f>data!F68</f>
        <v>0</v>
      </c>
      <c r="G18" s="14">
        <f>data!G68</f>
        <v>152949.09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7418.45</v>
      </c>
      <c r="F19" s="14">
        <f>data!F69</f>
        <v>0</v>
      </c>
      <c r="G19" s="14">
        <f>data!G69</f>
        <v>35303.43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1844357.6800000002</v>
      </c>
      <c r="F21" s="14">
        <f>data!F71</f>
        <v>0</v>
      </c>
      <c r="G21" s="14">
        <f>data!G71</f>
        <v>2410567.19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1798706</v>
      </c>
      <c r="F23" s="48">
        <f>+data!M671</f>
        <v>0</v>
      </c>
      <c r="G23" s="48">
        <f>+data!M672</f>
        <v>2157058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1835446</v>
      </c>
      <c r="F24" s="14">
        <f>data!F73</f>
        <v>0</v>
      </c>
      <c r="G24" s="14">
        <f>data!G73</f>
        <v>5601873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1724892.47</v>
      </c>
      <c r="F25" s="14">
        <f>data!F74</f>
        <v>0</v>
      </c>
      <c r="G25" s="14">
        <f>data!G74</f>
        <v>172425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3560338.4699999997</v>
      </c>
      <c r="F26" s="14">
        <f>data!F75</f>
        <v>0</v>
      </c>
      <c r="G26" s="14">
        <f>data!G75</f>
        <v>5774298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6867</v>
      </c>
      <c r="F28" s="14">
        <f>data!F76</f>
        <v>0</v>
      </c>
      <c r="G28" s="14">
        <f>data!G76</f>
        <v>4895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1851</v>
      </c>
      <c r="F29" s="14">
        <f>data!F77</f>
        <v>0</v>
      </c>
      <c r="G29" s="14">
        <f>data!G77</f>
        <v>5166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6867</v>
      </c>
      <c r="F30" s="14">
        <f>data!F78</f>
        <v>0</v>
      </c>
      <c r="G30" s="14">
        <f>data!G78</f>
        <v>4895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78808</v>
      </c>
      <c r="F31" s="14">
        <f>data!F79</f>
        <v>0</v>
      </c>
      <c r="G31" s="14">
        <f>data!G79</f>
        <v>2626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7.39</v>
      </c>
      <c r="F32" s="84">
        <f>data!F80</f>
        <v>0</v>
      </c>
      <c r="G32" s="84">
        <f>data!G80</f>
        <v>8.16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Confluence Health: Wenatchee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343021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53.55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4371710.92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1279207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88546.05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2989718.75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35781.85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487413.04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350474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515932.2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193520.6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10312304.409999996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9631077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3698593.49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72701924.979999989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76400518.469999984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27597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27597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45143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29.54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Confluence Health: Wenatchee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162207</v>
      </c>
      <c r="D73" s="48">
        <f>data!R59</f>
        <v>348049</v>
      </c>
      <c r="E73" s="212"/>
      <c r="F73" s="212"/>
      <c r="G73" s="14">
        <f>data!U59</f>
        <v>24362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16.989999999999998</v>
      </c>
      <c r="D74" s="26">
        <f>data!R60</f>
        <v>0</v>
      </c>
      <c r="E74" s="26">
        <f>data!S60</f>
        <v>5.96</v>
      </c>
      <c r="F74" s="26">
        <f>data!T60</f>
        <v>0</v>
      </c>
      <c r="G74" s="26">
        <f>data!U60</f>
        <v>17.920000000000002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1513865.22</v>
      </c>
      <c r="D75" s="14">
        <f>data!R61</f>
        <v>0</v>
      </c>
      <c r="E75" s="14">
        <f>data!S61</f>
        <v>266411.53999999998</v>
      </c>
      <c r="F75" s="14">
        <f>data!T61</f>
        <v>0</v>
      </c>
      <c r="G75" s="14">
        <f>data!U61</f>
        <v>757295.21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360998</v>
      </c>
      <c r="D76" s="14">
        <f>data!R62</f>
        <v>0</v>
      </c>
      <c r="E76" s="14">
        <f>data!S62</f>
        <v>107570</v>
      </c>
      <c r="F76" s="14">
        <f>data!T62</f>
        <v>0</v>
      </c>
      <c r="G76" s="14">
        <f>data!U62</f>
        <v>313294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52042.2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44804.039999999994</v>
      </c>
      <c r="D78" s="14">
        <f>data!R64</f>
        <v>15.01</v>
      </c>
      <c r="E78" s="14">
        <f>data!S64</f>
        <v>6348132.4900000002</v>
      </c>
      <c r="F78" s="14">
        <f>data!T64</f>
        <v>0</v>
      </c>
      <c r="G78" s="14">
        <f>data!U64</f>
        <v>227318.09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11390.99</v>
      </c>
      <c r="D79" s="14">
        <f>data!R65</f>
        <v>0</v>
      </c>
      <c r="E79" s="14">
        <f>data!S65</f>
        <v>2277.37</v>
      </c>
      <c r="F79" s="14">
        <f>data!T65</f>
        <v>0</v>
      </c>
      <c r="G79" s="14">
        <f>data!U65</f>
        <v>9545.08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1570.62</v>
      </c>
      <c r="D80" s="14">
        <f>data!R66</f>
        <v>5972</v>
      </c>
      <c r="E80" s="14">
        <f>data!S66</f>
        <v>0</v>
      </c>
      <c r="F80" s="14">
        <f>data!T66</f>
        <v>0</v>
      </c>
      <c r="G80" s="14">
        <f>data!U66</f>
        <v>1006276.97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4111</v>
      </c>
      <c r="D81" s="14">
        <f>data!R67</f>
        <v>17405</v>
      </c>
      <c r="E81" s="14">
        <f>data!S67</f>
        <v>0</v>
      </c>
      <c r="F81" s="14">
        <f>data!T67</f>
        <v>0</v>
      </c>
      <c r="G81" s="14">
        <f>data!U67</f>
        <v>109175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169736.76</v>
      </c>
      <c r="D82" s="14">
        <f>data!R68</f>
        <v>0</v>
      </c>
      <c r="E82" s="14">
        <f>data!S68</f>
        <v>40356.839999999997</v>
      </c>
      <c r="F82" s="14">
        <f>data!T68</f>
        <v>0</v>
      </c>
      <c r="G82" s="14">
        <f>data!U68</f>
        <v>155979.48000000001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3339.81</v>
      </c>
      <c r="D83" s="14">
        <f>data!R69</f>
        <v>190045.26</v>
      </c>
      <c r="E83" s="14">
        <f>data!S69</f>
        <v>5099.3500000000004</v>
      </c>
      <c r="F83" s="14">
        <f>data!T69</f>
        <v>0</v>
      </c>
      <c r="G83" s="14">
        <f>data!U69</f>
        <v>8978.06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2109816.44</v>
      </c>
      <c r="D85" s="14">
        <f>data!R71</f>
        <v>213437.27000000002</v>
      </c>
      <c r="E85" s="14">
        <f>data!S71</f>
        <v>6769847.5899999999</v>
      </c>
      <c r="F85" s="14">
        <f>data!T71</f>
        <v>0</v>
      </c>
      <c r="G85" s="14">
        <f>data!U71</f>
        <v>2639904.09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1955409</v>
      </c>
      <c r="D87" s="48">
        <f>+data!M683</f>
        <v>318396</v>
      </c>
      <c r="E87" s="48">
        <f>+data!M684</f>
        <v>5883791</v>
      </c>
      <c r="F87" s="48">
        <f>+data!M685</f>
        <v>0</v>
      </c>
      <c r="G87" s="48">
        <f>+data!M686</f>
        <v>2391114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268289</v>
      </c>
      <c r="D88" s="14">
        <f>data!R73</f>
        <v>101694</v>
      </c>
      <c r="E88" s="14">
        <f>data!S73</f>
        <v>2389128.1500000004</v>
      </c>
      <c r="F88" s="14">
        <f>data!T73</f>
        <v>0</v>
      </c>
      <c r="G88" s="14">
        <f>data!U73</f>
        <v>44464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6015117.2999999998</v>
      </c>
      <c r="D89" s="14">
        <f>data!R74</f>
        <v>26979111.100000001</v>
      </c>
      <c r="E89" s="14">
        <f>data!S74</f>
        <v>12500906.140000001</v>
      </c>
      <c r="F89" s="14">
        <f>data!T74</f>
        <v>0</v>
      </c>
      <c r="G89" s="14">
        <f>data!U74</f>
        <v>2230144.52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6283406.2999999998</v>
      </c>
      <c r="D90" s="14">
        <f>data!R75</f>
        <v>27080805.100000001</v>
      </c>
      <c r="E90" s="14">
        <f>data!S75</f>
        <v>14890034.290000001</v>
      </c>
      <c r="F90" s="14">
        <f>data!T75</f>
        <v>0</v>
      </c>
      <c r="G90" s="14">
        <f>data!U75</f>
        <v>2274608.52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6898</v>
      </c>
      <c r="D92" s="14">
        <f>data!R76</f>
        <v>0</v>
      </c>
      <c r="E92" s="14">
        <f>data!S76</f>
        <v>11812</v>
      </c>
      <c r="F92" s="14">
        <f>data!T76</f>
        <v>0</v>
      </c>
      <c r="G92" s="14">
        <f>data!U76</f>
        <v>7833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6898</v>
      </c>
      <c r="D94" s="14">
        <f>data!R78</f>
        <v>0</v>
      </c>
      <c r="E94" s="14">
        <f>data!S78</f>
        <v>11812</v>
      </c>
      <c r="F94" s="14">
        <f>data!T78</f>
        <v>0</v>
      </c>
      <c r="G94" s="14">
        <f>data!U78</f>
        <v>7833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1482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12.55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Confluence Health: Wenatchee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481421</v>
      </c>
      <c r="E105" s="14">
        <f>data!Z59</f>
        <v>0</v>
      </c>
      <c r="F105" s="14">
        <f>data!AA59</f>
        <v>0</v>
      </c>
      <c r="G105" s="212"/>
      <c r="H105" s="14">
        <f>data!AC59</f>
        <v>492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4.7699999999999996</v>
      </c>
      <c r="D106" s="26">
        <f>data!Y60</f>
        <v>36.81</v>
      </c>
      <c r="E106" s="26">
        <f>data!Z60</f>
        <v>0</v>
      </c>
      <c r="F106" s="26">
        <f>data!AA60</f>
        <v>0</v>
      </c>
      <c r="G106" s="26">
        <f>data!AB60</f>
        <v>20.93</v>
      </c>
      <c r="H106" s="26">
        <f>data!AC60</f>
        <v>0.27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335544.45</v>
      </c>
      <c r="D107" s="14">
        <f>data!Y61</f>
        <v>2631146.2200000002</v>
      </c>
      <c r="E107" s="14">
        <f>data!Z61</f>
        <v>0</v>
      </c>
      <c r="F107" s="14">
        <f>data!AA61</f>
        <v>0</v>
      </c>
      <c r="G107" s="14">
        <f>data!AB61</f>
        <v>2221516.23</v>
      </c>
      <c r="H107" s="14">
        <f>data!AC61</f>
        <v>23079.37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99171</v>
      </c>
      <c r="D108" s="14">
        <f>data!Y62</f>
        <v>785258</v>
      </c>
      <c r="E108" s="14">
        <f>data!Z62</f>
        <v>0</v>
      </c>
      <c r="F108" s="14">
        <f>data!AA62</f>
        <v>0</v>
      </c>
      <c r="G108" s="14">
        <f>data!AB62</f>
        <v>585304</v>
      </c>
      <c r="H108" s="14">
        <f>data!AC62</f>
        <v>6235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68059.199999999997</v>
      </c>
      <c r="E109" s="14">
        <f>data!Z63</f>
        <v>0</v>
      </c>
      <c r="F109" s="14">
        <f>data!AA63</f>
        <v>0</v>
      </c>
      <c r="G109" s="14">
        <f>data!AB63</f>
        <v>9375</v>
      </c>
      <c r="H109" s="14">
        <f>data!AC63</f>
        <v>138734.54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100827.41</v>
      </c>
      <c r="D110" s="14">
        <f>data!Y64</f>
        <v>271435.23</v>
      </c>
      <c r="E110" s="14">
        <f>data!Z64</f>
        <v>0</v>
      </c>
      <c r="F110" s="14">
        <f>data!AA64</f>
        <v>14841.08</v>
      </c>
      <c r="G110" s="14">
        <f>data!AB64</f>
        <v>1891635.58</v>
      </c>
      <c r="H110" s="14">
        <f>data!AC64</f>
        <v>2307.44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4447.3599999999997</v>
      </c>
      <c r="D111" s="14">
        <f>data!Y65</f>
        <v>21724.79</v>
      </c>
      <c r="E111" s="14">
        <f>data!Z65</f>
        <v>0</v>
      </c>
      <c r="F111" s="14">
        <f>data!AA65</f>
        <v>0</v>
      </c>
      <c r="G111" s="14">
        <f>data!AB65</f>
        <v>4565.82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561028.35</v>
      </c>
      <c r="D112" s="14">
        <f>data!Y66</f>
        <v>2810668.77</v>
      </c>
      <c r="E112" s="14">
        <f>data!Z66</f>
        <v>0</v>
      </c>
      <c r="F112" s="14">
        <f>data!AA66</f>
        <v>395</v>
      </c>
      <c r="G112" s="14">
        <f>data!AB66</f>
        <v>114188.99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4035</v>
      </c>
      <c r="D113" s="14">
        <f>data!Y67</f>
        <v>256857</v>
      </c>
      <c r="E113" s="14">
        <f>data!Z67</f>
        <v>0</v>
      </c>
      <c r="F113" s="14">
        <f>data!AA67</f>
        <v>0</v>
      </c>
      <c r="G113" s="14">
        <f>data!AB67</f>
        <v>33608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68732.160000000003</v>
      </c>
      <c r="D114" s="14">
        <f>data!Y68</f>
        <v>427380.44</v>
      </c>
      <c r="E114" s="14">
        <f>data!Z68</f>
        <v>0</v>
      </c>
      <c r="F114" s="14">
        <f>data!AA68</f>
        <v>0</v>
      </c>
      <c r="G114" s="14">
        <f>data!AB68</f>
        <v>64039.74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277.3</v>
      </c>
      <c r="D115" s="14">
        <f>data!Y69</f>
        <v>199605.98</v>
      </c>
      <c r="E115" s="14">
        <f>data!Z69</f>
        <v>0</v>
      </c>
      <c r="F115" s="14">
        <f>data!AA69</f>
        <v>0</v>
      </c>
      <c r="G115" s="14">
        <f>data!AB69</f>
        <v>41636.42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1174063.0299999998</v>
      </c>
      <c r="D117" s="14">
        <f>data!Y71</f>
        <v>7472135.6300000018</v>
      </c>
      <c r="E117" s="14">
        <f>data!Z71</f>
        <v>0</v>
      </c>
      <c r="F117" s="14">
        <f>data!AA71</f>
        <v>15236.08</v>
      </c>
      <c r="G117" s="14">
        <f>data!AB71</f>
        <v>4965869.7800000012</v>
      </c>
      <c r="H117" s="14">
        <f>data!AC71</f>
        <v>170356.35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1100030</v>
      </c>
      <c r="D119" s="48">
        <f>+data!M690</f>
        <v>7041466</v>
      </c>
      <c r="E119" s="48">
        <f>+data!M691</f>
        <v>0</v>
      </c>
      <c r="F119" s="48">
        <f>+data!M692</f>
        <v>30217</v>
      </c>
      <c r="G119" s="48">
        <f>+data!M693</f>
        <v>4165826</v>
      </c>
      <c r="H119" s="48">
        <f>+data!M694</f>
        <v>139165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19997.760000000002</v>
      </c>
      <c r="D120" s="14">
        <f>data!Y73</f>
        <v>36493.78</v>
      </c>
      <c r="E120" s="14">
        <f>data!Z73</f>
        <v>0</v>
      </c>
      <c r="F120" s="14">
        <f>data!AA73</f>
        <v>1508.24</v>
      </c>
      <c r="G120" s="14">
        <f>data!AB73</f>
        <v>360507.61</v>
      </c>
      <c r="H120" s="14">
        <f>data!AC73</f>
        <v>40285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9983721.6399999987</v>
      </c>
      <c r="D121" s="14">
        <f>data!Y74</f>
        <v>40701702.82</v>
      </c>
      <c r="E121" s="14">
        <f>data!Z74</f>
        <v>0</v>
      </c>
      <c r="F121" s="14">
        <f>data!AA74</f>
        <v>108418.83</v>
      </c>
      <c r="G121" s="14">
        <f>data!AB74</f>
        <v>6048015.2599999998</v>
      </c>
      <c r="H121" s="14">
        <f>data!AC74</f>
        <v>12073.7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10003719.399999999</v>
      </c>
      <c r="D122" s="14">
        <f>data!Y75</f>
        <v>40738196.600000001</v>
      </c>
      <c r="E122" s="14">
        <f>data!Z75</f>
        <v>0</v>
      </c>
      <c r="F122" s="14">
        <f>data!AA75</f>
        <v>109927.07</v>
      </c>
      <c r="G122" s="14">
        <f>data!AB75</f>
        <v>6408522.8700000001</v>
      </c>
      <c r="H122" s="14">
        <f>data!AC75</f>
        <v>52358.7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3268</v>
      </c>
      <c r="D124" s="14">
        <f>data!Y76</f>
        <v>25353</v>
      </c>
      <c r="E124" s="14">
        <f>data!Z76</f>
        <v>0</v>
      </c>
      <c r="F124" s="14">
        <f>data!AA76</f>
        <v>0</v>
      </c>
      <c r="G124" s="14">
        <f>data!AB76</f>
        <v>2198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3268</v>
      </c>
      <c r="D126" s="14">
        <f>data!Y78</f>
        <v>25353</v>
      </c>
      <c r="E126" s="14">
        <f>data!Z78</f>
        <v>0</v>
      </c>
      <c r="F126" s="14">
        <f>data!AA78</f>
        <v>0</v>
      </c>
      <c r="G126" s="14">
        <f>data!AB78</f>
        <v>2198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1361</v>
      </c>
      <c r="D127" s="14">
        <f>data!Y79</f>
        <v>44495</v>
      </c>
      <c r="E127" s="14">
        <f>data!Z79</f>
        <v>0</v>
      </c>
      <c r="F127" s="14">
        <f>data!AA79</f>
        <v>17322</v>
      </c>
      <c r="G127" s="14">
        <f>data!AB79</f>
        <v>15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Confluence Health: Wenatchee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17397</v>
      </c>
      <c r="D137" s="14">
        <f>data!AF59</f>
        <v>0</v>
      </c>
      <c r="E137" s="14">
        <f>data!AG59</f>
        <v>3247</v>
      </c>
      <c r="F137" s="14">
        <f>data!AH59</f>
        <v>0</v>
      </c>
      <c r="G137" s="14">
        <f>data!AI59</f>
        <v>0</v>
      </c>
      <c r="H137" s="14">
        <f>data!AJ59</f>
        <v>151643</v>
      </c>
      <c r="I137" s="14">
        <f>data!AK59</f>
        <v>7648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22.82</v>
      </c>
      <c r="D138" s="26">
        <f>data!AF60</f>
        <v>0</v>
      </c>
      <c r="E138" s="26">
        <f>data!AG60</f>
        <v>4.22</v>
      </c>
      <c r="F138" s="26">
        <f>data!AH60</f>
        <v>0</v>
      </c>
      <c r="G138" s="26">
        <f>data!AI60</f>
        <v>0</v>
      </c>
      <c r="H138" s="26">
        <f>data!AJ60</f>
        <v>193.83</v>
      </c>
      <c r="I138" s="26">
        <f>data!AK60</f>
        <v>12.93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1688601.36</v>
      </c>
      <c r="D139" s="14">
        <f>data!AF61</f>
        <v>0</v>
      </c>
      <c r="E139" s="14">
        <f>data!AG61</f>
        <v>383106.21</v>
      </c>
      <c r="F139" s="14">
        <f>data!AH61</f>
        <v>0</v>
      </c>
      <c r="G139" s="14">
        <f>data!AI61</f>
        <v>0</v>
      </c>
      <c r="H139" s="14">
        <f>data!AJ61</f>
        <v>12701722.369999999</v>
      </c>
      <c r="I139" s="14">
        <f>data!AK61</f>
        <v>963857.93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617114</v>
      </c>
      <c r="D140" s="14">
        <f>data!AF62</f>
        <v>0</v>
      </c>
      <c r="E140" s="14">
        <f>data!AG62</f>
        <v>99824</v>
      </c>
      <c r="F140" s="14">
        <f>data!AH62</f>
        <v>0</v>
      </c>
      <c r="G140" s="14">
        <f>data!AI62</f>
        <v>0</v>
      </c>
      <c r="H140" s="14">
        <f>data!AJ62</f>
        <v>4325527</v>
      </c>
      <c r="I140" s="14">
        <f>data!AK62</f>
        <v>349146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277351.2</v>
      </c>
      <c r="F141" s="14">
        <f>data!AH63</f>
        <v>0</v>
      </c>
      <c r="G141" s="14">
        <f>data!AI63</f>
        <v>0</v>
      </c>
      <c r="H141" s="14">
        <f>data!AJ63</f>
        <v>184770.84</v>
      </c>
      <c r="I141" s="14">
        <f>data!AK63</f>
        <v>330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39298.21</v>
      </c>
      <c r="D142" s="14">
        <f>data!AF64</f>
        <v>0</v>
      </c>
      <c r="E142" s="14">
        <f>data!AG64</f>
        <v>75049.23000000001</v>
      </c>
      <c r="F142" s="14">
        <f>data!AH64</f>
        <v>0</v>
      </c>
      <c r="G142" s="14">
        <f>data!AI64</f>
        <v>0</v>
      </c>
      <c r="H142" s="14">
        <f>data!AJ64</f>
        <v>2457178.67</v>
      </c>
      <c r="I142" s="14">
        <f>data!AK64</f>
        <v>74624.97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22471.88</v>
      </c>
      <c r="D143" s="14">
        <f>data!AF65</f>
        <v>0</v>
      </c>
      <c r="E143" s="14">
        <f>data!AG65</f>
        <v>40</v>
      </c>
      <c r="F143" s="14">
        <f>data!AH65</f>
        <v>0</v>
      </c>
      <c r="G143" s="14">
        <f>data!AI65</f>
        <v>0</v>
      </c>
      <c r="H143" s="14">
        <f>data!AJ65</f>
        <v>86585.22</v>
      </c>
      <c r="I143" s="14">
        <f>data!AK65</f>
        <v>561.37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4080.18</v>
      </c>
      <c r="D144" s="14">
        <f>data!AF66</f>
        <v>0</v>
      </c>
      <c r="E144" s="14">
        <f>data!AG66</f>
        <v>5743.46</v>
      </c>
      <c r="F144" s="14">
        <f>data!AH66</f>
        <v>0</v>
      </c>
      <c r="G144" s="14">
        <f>data!AI66</f>
        <v>0</v>
      </c>
      <c r="H144" s="14">
        <f>data!AJ66</f>
        <v>223696.22</v>
      </c>
      <c r="I144" s="14">
        <f>data!AK66</f>
        <v>59554.17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26332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315581</v>
      </c>
      <c r="I145" s="14">
        <f>data!AK67</f>
        <v>826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204463.56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1300976.2</v>
      </c>
      <c r="I146" s="14">
        <f>data!AK68</f>
        <v>68581.039999999994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109202.88</v>
      </c>
      <c r="D147" s="14">
        <f>data!AF69</f>
        <v>0</v>
      </c>
      <c r="E147" s="14">
        <f>data!AG69</f>
        <v>7833.2</v>
      </c>
      <c r="F147" s="14">
        <f>data!AH69</f>
        <v>0</v>
      </c>
      <c r="G147" s="14">
        <f>data!AI69</f>
        <v>0</v>
      </c>
      <c r="H147" s="14">
        <f>data!AJ69</f>
        <v>1025658.37</v>
      </c>
      <c r="I147" s="14">
        <f>data!AK69</f>
        <v>26172.43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2711564.0700000003</v>
      </c>
      <c r="D149" s="14">
        <f>data!AF71</f>
        <v>0</v>
      </c>
      <c r="E149" s="14">
        <f>data!AG71</f>
        <v>848947.29999999993</v>
      </c>
      <c r="F149" s="14">
        <f>data!AH71</f>
        <v>0</v>
      </c>
      <c r="G149" s="14">
        <f>data!AI71</f>
        <v>0</v>
      </c>
      <c r="H149" s="14">
        <f>data!AJ71</f>
        <v>22621695.889999993</v>
      </c>
      <c r="I149" s="14">
        <f>data!AK71</f>
        <v>1543653.9100000001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2432415</v>
      </c>
      <c r="D151" s="48">
        <f>+data!M697</f>
        <v>0</v>
      </c>
      <c r="E151" s="48">
        <f>+data!M698</f>
        <v>712894</v>
      </c>
      <c r="F151" s="48">
        <f>+data!M699</f>
        <v>0</v>
      </c>
      <c r="G151" s="48">
        <f>+data!M700</f>
        <v>0</v>
      </c>
      <c r="H151" s="48">
        <f>+data!M701</f>
        <v>21473053</v>
      </c>
      <c r="I151" s="48">
        <f>+data!M702</f>
        <v>1300804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42933</v>
      </c>
      <c r="F152" s="14">
        <f>data!AH73</f>
        <v>0</v>
      </c>
      <c r="G152" s="14">
        <f>data!AI73</f>
        <v>0</v>
      </c>
      <c r="H152" s="14">
        <f>data!AJ73</f>
        <v>1705</v>
      </c>
      <c r="I152" s="14">
        <f>data!AK73</f>
        <v>1001200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4376132.58</v>
      </c>
      <c r="D153" s="14">
        <f>data!AF74</f>
        <v>0</v>
      </c>
      <c r="E153" s="14">
        <f>data!AG74</f>
        <v>2681512.94</v>
      </c>
      <c r="F153" s="14">
        <f>data!AH74</f>
        <v>0</v>
      </c>
      <c r="G153" s="14">
        <f>data!AI74</f>
        <v>0</v>
      </c>
      <c r="H153" s="14">
        <f>data!AJ74</f>
        <v>91221521.710000008</v>
      </c>
      <c r="I153" s="14">
        <f>data!AK74</f>
        <v>2668333.14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4376132.58</v>
      </c>
      <c r="D154" s="14">
        <f>data!AF75</f>
        <v>0</v>
      </c>
      <c r="E154" s="14">
        <f>data!AG75</f>
        <v>2724445.94</v>
      </c>
      <c r="F154" s="14">
        <f>data!AH75</f>
        <v>0</v>
      </c>
      <c r="G154" s="14">
        <f>data!AI75</f>
        <v>0</v>
      </c>
      <c r="H154" s="14">
        <f>data!AJ75</f>
        <v>91223226.710000008</v>
      </c>
      <c r="I154" s="14">
        <f>data!AK75</f>
        <v>3669533.14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4450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86795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4450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86795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47487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33514</v>
      </c>
      <c r="I159" s="14">
        <f>data!AK79</f>
        <v>110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2.62</v>
      </c>
      <c r="F160" s="26">
        <f>data!AH80</f>
        <v>0</v>
      </c>
      <c r="G160" s="26">
        <f>data!AI80</f>
        <v>0</v>
      </c>
      <c r="H160" s="26">
        <f>data!AJ80</f>
        <v>19.97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Confluence Health: Wenatchee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1022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548322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0.65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507.49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66576.33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35164531.049999997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12629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11710947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2268840.27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4099.74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6499890.2799999993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521422.53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2294895.2200000002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685939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4173523.75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3999.21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1755892.65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87304.280000000013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65075881.75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75011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57231056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505067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65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5282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151444114.83999997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510349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151444179.83999997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97226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97226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67171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73.430000000000007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Confluence Health: Wenatchee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11.7</v>
      </c>
      <c r="H206" s="14">
        <f>data!AX64</f>
        <v>0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4529079.5199999996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4529079.5199999996</v>
      </c>
      <c r="G213" s="14">
        <f>data!AW71</f>
        <v>11.7</v>
      </c>
      <c r="H213" s="14">
        <f>data!AX71</f>
        <v>0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3829588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271797.66000000003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6814586.2300000004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7086383.8900000006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115118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Confluence Health: Wenatchee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7017</v>
      </c>
      <c r="D233" s="14">
        <f>data!BA59</f>
        <v>0</v>
      </c>
      <c r="E233" s="212"/>
      <c r="F233" s="212"/>
      <c r="G233" s="212"/>
      <c r="H233" s="14">
        <f>data!BE59</f>
        <v>375361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7.42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9.92</v>
      </c>
      <c r="I234" s="26">
        <f>data!BF60</f>
        <v>22.01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305135.46999999997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626364.68999999994</v>
      </c>
      <c r="I235" s="14">
        <f>data!BF61</f>
        <v>870158.01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128964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218539</v>
      </c>
      <c r="I236" s="14">
        <f>data!BF62</f>
        <v>418013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278024.81</v>
      </c>
      <c r="D238" s="14">
        <f>data!BA64</f>
        <v>111133.9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12756.269999999999</v>
      </c>
      <c r="I238" s="14">
        <f>data!BF64</f>
        <v>631277.03999999992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3225.41</v>
      </c>
      <c r="D239" s="14">
        <f>data!BA65</f>
        <v>4765.95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23951.29</v>
      </c>
      <c r="I239" s="14">
        <f>data!BF65</f>
        <v>282472.44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9388.85</v>
      </c>
      <c r="D240" s="14">
        <f>data!BA66</f>
        <v>2616.1799999999998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1090121.1599999999</v>
      </c>
      <c r="I240" s="14">
        <f>data!BF66</f>
        <v>155554.44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1055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114191</v>
      </c>
      <c r="I241" s="14">
        <f>data!BF67</f>
        <v>4931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42685.68</v>
      </c>
      <c r="D242" s="14">
        <f>data!BA68</f>
        <v>131505.29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48141.599999999999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2580.52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3948.69</v>
      </c>
      <c r="I243" s="14">
        <f>data!BF69</f>
        <v>7074.15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771059.74000000011</v>
      </c>
      <c r="D245" s="14">
        <f>data!BA71</f>
        <v>250021.32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2138013.6999999997</v>
      </c>
      <c r="I245" s="14">
        <f>data!BF71</f>
        <v>2369480.0799999996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1642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15663</v>
      </c>
      <c r="I252" s="85">
        <f>data!BF76</f>
        <v>1315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7017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Confluence Health: Wenatchee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43.45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1871437.43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727642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2522.35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12231.34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6728.21</v>
      </c>
      <c r="D271" s="14">
        <f>data!BH65</f>
        <v>1191.42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60013.31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38301</v>
      </c>
      <c r="D273" s="14">
        <f>data!BH67</f>
        <v>174299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42146.81</v>
      </c>
      <c r="D274" s="14">
        <f>data!BH68</f>
        <v>18270.599999999999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2899.49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2763921.94</v>
      </c>
      <c r="D277" s="14">
        <f>data!BH71</f>
        <v>193761.02000000002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3673</v>
      </c>
      <c r="E284" s="85">
        <f>data!BI76</f>
        <v>0</v>
      </c>
      <c r="F284" s="85">
        <f>data!BJ76</f>
        <v>587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3673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Confluence Health: Wenatchee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3.19</v>
      </c>
      <c r="D298" s="26">
        <f>data!BO60</f>
        <v>2.0499999999999998</v>
      </c>
      <c r="E298" s="26">
        <f>data!BP60</f>
        <v>0</v>
      </c>
      <c r="F298" s="26">
        <f>data!BQ60</f>
        <v>0</v>
      </c>
      <c r="G298" s="26">
        <f>data!BR60</f>
        <v>0.46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1671420.22</v>
      </c>
      <c r="D299" s="14">
        <f>data!BO61</f>
        <v>150095.72</v>
      </c>
      <c r="E299" s="14">
        <f>data!BP61</f>
        <v>0</v>
      </c>
      <c r="F299" s="14">
        <f>data!BQ61</f>
        <v>0</v>
      </c>
      <c r="G299" s="14">
        <f>data!BR61</f>
        <v>39483.160000000003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1783101</v>
      </c>
      <c r="D300" s="14">
        <f>data!BO62</f>
        <v>42939</v>
      </c>
      <c r="E300" s="14">
        <f>data!BP62</f>
        <v>0</v>
      </c>
      <c r="F300" s="14">
        <f>data!BQ62</f>
        <v>0</v>
      </c>
      <c r="G300" s="14">
        <f>data!BR62</f>
        <v>4878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101032307.5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-140832.67000000001</v>
      </c>
      <c r="D302" s="14">
        <f>data!BO64</f>
        <v>97186.02</v>
      </c>
      <c r="E302" s="14">
        <f>data!BP64</f>
        <v>54.25</v>
      </c>
      <c r="F302" s="14">
        <f>data!BQ64</f>
        <v>0</v>
      </c>
      <c r="G302" s="14">
        <f>data!BR64</f>
        <v>2130.9699999999998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73366.259999999995</v>
      </c>
      <c r="D303" s="14">
        <f>data!BO65</f>
        <v>304.13</v>
      </c>
      <c r="E303" s="14">
        <f>data!BP65</f>
        <v>0</v>
      </c>
      <c r="F303" s="14">
        <f>data!BQ65</f>
        <v>0</v>
      </c>
      <c r="G303" s="14">
        <f>data!BR65</f>
        <v>160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130716.01</v>
      </c>
      <c r="D304" s="14">
        <f>data!BO66</f>
        <v>34229.410000000003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186745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591846.82999999996</v>
      </c>
      <c r="D306" s="14">
        <f>data!BO68</f>
        <v>66.12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4306801.01</v>
      </c>
      <c r="D307" s="14">
        <f>data!BO69</f>
        <v>305</v>
      </c>
      <c r="E307" s="14">
        <f>data!BP69</f>
        <v>236361.38</v>
      </c>
      <c r="F307" s="14">
        <f>data!BQ69</f>
        <v>0</v>
      </c>
      <c r="G307" s="14">
        <f>data!BR69</f>
        <v>115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109635471.16000001</v>
      </c>
      <c r="D309" s="14">
        <f>data!BO71</f>
        <v>325125.40000000002</v>
      </c>
      <c r="E309" s="14">
        <f>data!BP71</f>
        <v>236415.63</v>
      </c>
      <c r="F309" s="14">
        <f>data!BQ71</f>
        <v>0</v>
      </c>
      <c r="G309" s="14">
        <f>data!BR71</f>
        <v>46767.130000000005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18469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Confluence Health: Wenatchee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13.98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578499.38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254547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5300.64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2596.4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1033.69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224.94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842202.04999999993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17502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17502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Confluence Health: Wenatchee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21.05</v>
      </c>
      <c r="E362" s="217"/>
      <c r="F362" s="211"/>
      <c r="G362" s="211"/>
      <c r="H362" s="211"/>
      <c r="I362" s="87">
        <f>data!CE60</f>
        <v>1058.18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1380705.9300000002</v>
      </c>
      <c r="E363" s="218"/>
      <c r="F363" s="219"/>
      <c r="G363" s="219"/>
      <c r="H363" s="219"/>
      <c r="I363" s="86">
        <f>data!CE61</f>
        <v>73295795.819999993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429274</v>
      </c>
      <c r="E364" s="218"/>
      <c r="F364" s="219"/>
      <c r="G364" s="219"/>
      <c r="H364" s="219"/>
      <c r="I364" s="86">
        <f>data!CE62</f>
        <v>25541959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-149799.34</v>
      </c>
      <c r="E365" s="218"/>
      <c r="F365" s="219"/>
      <c r="G365" s="219"/>
      <c r="H365" s="219"/>
      <c r="I365" s="86">
        <f>data!CE63</f>
        <v>104018921.31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583824.81999999995</v>
      </c>
      <c r="E366" s="218"/>
      <c r="F366" s="219"/>
      <c r="G366" s="219"/>
      <c r="H366" s="219"/>
      <c r="I366" s="86">
        <f>data!CE64</f>
        <v>22757890.519999992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981.77</v>
      </c>
      <c r="E367" s="218"/>
      <c r="F367" s="219"/>
      <c r="G367" s="219"/>
      <c r="H367" s="219"/>
      <c r="I367" s="86">
        <f>data!CE65</f>
        <v>1142066.2599999998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1814171.8699999999</v>
      </c>
      <c r="E368" s="218"/>
      <c r="F368" s="219"/>
      <c r="G368" s="219"/>
      <c r="H368" s="219"/>
      <c r="I368" s="86">
        <f>data!CE66</f>
        <v>15477374.939999998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2347920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14799.220000000001</v>
      </c>
      <c r="E370" s="218"/>
      <c r="F370" s="219"/>
      <c r="G370" s="219"/>
      <c r="H370" s="219"/>
      <c r="I370" s="86">
        <f>data!CE68</f>
        <v>8406009.9699999988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20867.71</v>
      </c>
      <c r="E371" s="86">
        <f>data!CD69</f>
        <v>0</v>
      </c>
      <c r="F371" s="219"/>
      <c r="G371" s="219"/>
      <c r="H371" s="219"/>
      <c r="I371" s="86">
        <f>data!CE69</f>
        <v>8195161.29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4094825.98</v>
      </c>
      <c r="E373" s="86">
        <f>data!CD71</f>
        <v>0</v>
      </c>
      <c r="F373" s="219"/>
      <c r="G373" s="219"/>
      <c r="H373" s="219"/>
      <c r="I373" s="14">
        <f>data!CE71</f>
        <v>261183099.10999995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16221047.689999999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438389937.19999999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454610984.88999993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31318</v>
      </c>
      <c r="E380" s="214"/>
      <c r="F380" s="211"/>
      <c r="G380" s="211"/>
      <c r="H380" s="211"/>
      <c r="I380" s="14">
        <f>data!CE76</f>
        <v>375361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14034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306367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454652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153.66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2021-07-06T16:10:44Z</dcterms:modified>
</cp:coreProperties>
</file>