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102CECAA-E36D-4A7C-8DDB-BB667196AAE8}" xr6:coauthVersionLast="45" xr6:coauthVersionMax="45" xr10:uidLastSave="{00000000-0000-0000-0000-000000000000}"/>
  <bookViews>
    <workbookView xWindow="-110" yWindow="-110" windowWidth="19420" windowHeight="10420" tabRatio="847" activeTab="2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externalReferences>
    <externalReference r:id="rId11"/>
  </externalReferences>
  <definedNames>
    <definedName name="_Fill" localSheetId="9" hidden="1">'Prior Year'!$DR$921:$DR$966</definedName>
    <definedName name="_Fill" hidden="1">data!$DR$921:$DR$966</definedName>
    <definedName name="Costcenter" localSheetId="9">'Prior Year'!$A$732:$W$813</definedName>
    <definedName name="Costcenter">data!$A$732:$W$813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data!$A$728:$CF$730</definedName>
    <definedName name="Hospital" localSheetId="9">'Prior Year'!$A$724:$BR$726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9" i="1" l="1"/>
  <c r="C379" i="1" l="1"/>
  <c r="C363" i="1"/>
  <c r="C337" i="1"/>
  <c r="C336" i="1" l="1"/>
  <c r="C307" i="1"/>
  <c r="C306" i="1"/>
  <c r="C253" i="1"/>
  <c r="C252" i="1"/>
  <c r="BJ69" i="1"/>
  <c r="C238" i="1"/>
  <c r="C228" i="1" s="1"/>
  <c r="C227" i="1"/>
  <c r="C226" i="1"/>
  <c r="C213" i="1"/>
  <c r="C200" i="1"/>
  <c r="C179" i="1"/>
  <c r="C180" i="1"/>
  <c r="C171" i="1"/>
  <c r="C170" i="1"/>
  <c r="C169" i="1"/>
  <c r="C168" i="1"/>
  <c r="C166" i="1"/>
  <c r="D142" i="1"/>
  <c r="D141" i="1"/>
  <c r="D140" i="1"/>
  <c r="D139" i="1" l="1"/>
  <c r="B139" i="1"/>
  <c r="D138" i="1"/>
  <c r="H79" i="1"/>
  <c r="H80" i="1" l="1"/>
  <c r="H78" i="1"/>
  <c r="BN69" i="1"/>
  <c r="BD69" i="1"/>
  <c r="BH69" i="1"/>
  <c r="BI69" i="1"/>
  <c r="BK66" i="1"/>
  <c r="BR69" i="1"/>
  <c r="H66" i="1"/>
  <c r="BE65" i="1" l="1"/>
  <c r="BN66" i="1"/>
  <c r="BH66" i="1"/>
  <c r="BE66" i="1" l="1"/>
  <c r="BD64" i="1"/>
  <c r="BO64" i="1"/>
  <c r="BE64" i="1"/>
  <c r="BB61" i="1"/>
  <c r="BB60" i="1"/>
  <c r="BH61" i="1"/>
  <c r="BH60" i="1"/>
  <c r="BG60" i="1"/>
  <c r="BG61" i="1"/>
  <c r="BD61" i="1"/>
  <c r="BD60" i="1"/>
  <c r="AY59" i="1"/>
  <c r="H77" i="1" s="1"/>
  <c r="O817" i="11" l="1"/>
  <c r="M817" i="11"/>
  <c r="L817" i="11"/>
  <c r="K817" i="11"/>
  <c r="J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F792" i="11"/>
  <c r="D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H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F787" i="11"/>
  <c r="D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F782" i="11"/>
  <c r="D782" i="11"/>
  <c r="C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O739" i="11"/>
  <c r="M739" i="11"/>
  <c r="L739" i="11"/>
  <c r="K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U730" i="11"/>
  <c r="BT730" i="11"/>
  <c r="BS730" i="11"/>
  <c r="BR730" i="11"/>
  <c r="BQ730" i="11"/>
  <c r="BP730" i="11"/>
  <c r="BO730" i="11"/>
  <c r="BN730" i="11"/>
  <c r="BM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J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E726" i="11"/>
  <c r="D726" i="11"/>
  <c r="C726" i="11"/>
  <c r="B726" i="11"/>
  <c r="A726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B549" i="11"/>
  <c r="B548" i="11"/>
  <c r="B547" i="11"/>
  <c r="E546" i="11"/>
  <c r="D546" i="11"/>
  <c r="B546" i="11"/>
  <c r="E545" i="11"/>
  <c r="D545" i="11"/>
  <c r="F545" i="11" s="1"/>
  <c r="B545" i="11"/>
  <c r="D544" i="11"/>
  <c r="B544" i="11"/>
  <c r="F544" i="11" s="1"/>
  <c r="B543" i="11"/>
  <c r="B542" i="11"/>
  <c r="B541" i="11"/>
  <c r="H540" i="11"/>
  <c r="E540" i="11"/>
  <c r="D540" i="11"/>
  <c r="B540" i="11"/>
  <c r="F540" i="11" s="1"/>
  <c r="F539" i="11"/>
  <c r="E539" i="11"/>
  <c r="D539" i="11"/>
  <c r="B539" i="11"/>
  <c r="H539" i="11" s="1"/>
  <c r="E538" i="11"/>
  <c r="D538" i="11"/>
  <c r="B538" i="11"/>
  <c r="H537" i="11"/>
  <c r="E537" i="11"/>
  <c r="D537" i="11"/>
  <c r="B537" i="11"/>
  <c r="F537" i="11" s="1"/>
  <c r="H536" i="11"/>
  <c r="E536" i="11"/>
  <c r="D536" i="11"/>
  <c r="B536" i="11"/>
  <c r="F536" i="11" s="1"/>
  <c r="E535" i="11"/>
  <c r="D535" i="11"/>
  <c r="B535" i="11"/>
  <c r="E534" i="11"/>
  <c r="D534" i="11"/>
  <c r="B534" i="11"/>
  <c r="H534" i="11" s="1"/>
  <c r="F533" i="11"/>
  <c r="E533" i="11"/>
  <c r="D533" i="11"/>
  <c r="B533" i="11"/>
  <c r="H533" i="11" s="1"/>
  <c r="E532" i="11"/>
  <c r="D532" i="11"/>
  <c r="B532" i="11"/>
  <c r="E531" i="11"/>
  <c r="D531" i="11"/>
  <c r="B531" i="11"/>
  <c r="H531" i="11" s="1"/>
  <c r="E530" i="11"/>
  <c r="D530" i="11"/>
  <c r="B530" i="11"/>
  <c r="E529" i="11"/>
  <c r="D529" i="11"/>
  <c r="B529" i="11"/>
  <c r="F529" i="11" s="1"/>
  <c r="E528" i="11"/>
  <c r="D528" i="11"/>
  <c r="B528" i="11"/>
  <c r="H528" i="11" s="1"/>
  <c r="E527" i="11"/>
  <c r="D527" i="11"/>
  <c r="B527" i="11"/>
  <c r="H527" i="11" s="1"/>
  <c r="E526" i="11"/>
  <c r="D526" i="11"/>
  <c r="B526" i="11"/>
  <c r="H526" i="11" s="1"/>
  <c r="E525" i="11"/>
  <c r="D525" i="11"/>
  <c r="B525" i="11"/>
  <c r="H525" i="11" s="1"/>
  <c r="E524" i="11"/>
  <c r="D524" i="11"/>
  <c r="B524" i="11"/>
  <c r="F524" i="11" s="1"/>
  <c r="E523" i="11"/>
  <c r="D523" i="11"/>
  <c r="B523" i="11"/>
  <c r="E522" i="11"/>
  <c r="D522" i="11"/>
  <c r="B522" i="11"/>
  <c r="B521" i="11"/>
  <c r="F521" i="11" s="1"/>
  <c r="E520" i="11"/>
  <c r="D520" i="11"/>
  <c r="B520" i="11"/>
  <c r="H520" i="11" s="1"/>
  <c r="E519" i="11"/>
  <c r="D519" i="11"/>
  <c r="B519" i="11"/>
  <c r="H519" i="11" s="1"/>
  <c r="E518" i="11"/>
  <c r="D518" i="11"/>
  <c r="B518" i="11"/>
  <c r="F518" i="11" s="1"/>
  <c r="E517" i="11"/>
  <c r="D517" i="11"/>
  <c r="B517" i="11"/>
  <c r="E516" i="11"/>
  <c r="D516" i="11"/>
  <c r="B516" i="11"/>
  <c r="E515" i="11"/>
  <c r="D515" i="11"/>
  <c r="B515" i="11"/>
  <c r="F515" i="11" s="1"/>
  <c r="E514" i="11"/>
  <c r="D514" i="11"/>
  <c r="F514" i="11" s="1"/>
  <c r="B514" i="11"/>
  <c r="B513" i="11"/>
  <c r="H513" i="11" s="1"/>
  <c r="B512" i="11"/>
  <c r="E511" i="11"/>
  <c r="D511" i="11"/>
  <c r="B511" i="11"/>
  <c r="E510" i="11"/>
  <c r="D510" i="11"/>
  <c r="B510" i="11"/>
  <c r="H510" i="11" s="1"/>
  <c r="E509" i="11"/>
  <c r="D509" i="11"/>
  <c r="B509" i="11"/>
  <c r="F509" i="11" s="1"/>
  <c r="E508" i="11"/>
  <c r="D508" i="11"/>
  <c r="B508" i="11"/>
  <c r="H508" i="11" s="1"/>
  <c r="F507" i="11"/>
  <c r="E507" i="11"/>
  <c r="D507" i="11"/>
  <c r="B507" i="11"/>
  <c r="H507" i="11" s="1"/>
  <c r="H506" i="11"/>
  <c r="E506" i="11"/>
  <c r="D506" i="11"/>
  <c r="B506" i="11"/>
  <c r="F506" i="11" s="1"/>
  <c r="F505" i="11"/>
  <c r="E505" i="11"/>
  <c r="D505" i="11"/>
  <c r="B505" i="11"/>
  <c r="H505" i="11" s="1"/>
  <c r="E504" i="11"/>
  <c r="D504" i="11"/>
  <c r="B504" i="11"/>
  <c r="E503" i="11"/>
  <c r="D503" i="11"/>
  <c r="B503" i="11"/>
  <c r="F503" i="11" s="1"/>
  <c r="F502" i="11"/>
  <c r="E502" i="11"/>
  <c r="D502" i="11"/>
  <c r="B502" i="11"/>
  <c r="H502" i="11" s="1"/>
  <c r="E501" i="11"/>
  <c r="D501" i="11"/>
  <c r="F501" i="11" s="1"/>
  <c r="B501" i="11"/>
  <c r="F500" i="11"/>
  <c r="E500" i="11"/>
  <c r="D500" i="11"/>
  <c r="B500" i="11"/>
  <c r="H500" i="11" s="1"/>
  <c r="F499" i="11"/>
  <c r="E499" i="11"/>
  <c r="D499" i="11"/>
  <c r="B499" i="11"/>
  <c r="H499" i="11" s="1"/>
  <c r="E498" i="11"/>
  <c r="D498" i="11"/>
  <c r="B498" i="11"/>
  <c r="H498" i="11" s="1"/>
  <c r="F497" i="11"/>
  <c r="E497" i="11"/>
  <c r="D497" i="11"/>
  <c r="B497" i="11"/>
  <c r="H497" i="11" s="1"/>
  <c r="E496" i="11"/>
  <c r="D496" i="11"/>
  <c r="B496" i="11"/>
  <c r="G493" i="11"/>
  <c r="F493" i="11"/>
  <c r="E493" i="11"/>
  <c r="D493" i="11"/>
  <c r="C493" i="11"/>
  <c r="B493" i="11"/>
  <c r="A493" i="11"/>
  <c r="B478" i="11"/>
  <c r="B475" i="11"/>
  <c r="C474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4" i="11"/>
  <c r="B444" i="11"/>
  <c r="B439" i="11"/>
  <c r="C438" i="11"/>
  <c r="B438" i="11"/>
  <c r="D437" i="11"/>
  <c r="B437" i="11"/>
  <c r="B436" i="11"/>
  <c r="B435" i="11"/>
  <c r="B434" i="11"/>
  <c r="B433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C383" i="11"/>
  <c r="D390" i="11" s="1"/>
  <c r="B441" i="11" s="1"/>
  <c r="D372" i="11"/>
  <c r="C364" i="11"/>
  <c r="D367" i="11" s="1"/>
  <c r="C448" i="11" s="1"/>
  <c r="D361" i="11"/>
  <c r="D329" i="11"/>
  <c r="D328" i="11"/>
  <c r="D330" i="11" s="1"/>
  <c r="D339" i="11" s="1"/>
  <c r="C482" i="11" s="1"/>
  <c r="D319" i="11"/>
  <c r="D314" i="11"/>
  <c r="D290" i="11"/>
  <c r="D283" i="11"/>
  <c r="D275" i="11"/>
  <c r="B476" i="11" s="1"/>
  <c r="D265" i="11"/>
  <c r="D260" i="11"/>
  <c r="C239" i="11"/>
  <c r="D236" i="11"/>
  <c r="B446" i="11" s="1"/>
  <c r="D229" i="11"/>
  <c r="B445" i="11" s="1"/>
  <c r="D221" i="1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B204" i="11"/>
  <c r="C203" i="11"/>
  <c r="AQ722" i="11" s="1"/>
  <c r="E202" i="11"/>
  <c r="E201" i="11"/>
  <c r="E200" i="11"/>
  <c r="E199" i="11"/>
  <c r="C472" i="11" s="1"/>
  <c r="E198" i="11"/>
  <c r="E197" i="11"/>
  <c r="C470" i="11" s="1"/>
  <c r="E196" i="11"/>
  <c r="C469" i="11" s="1"/>
  <c r="E195" i="11"/>
  <c r="C468" i="11" s="1"/>
  <c r="D190" i="11"/>
  <c r="C183" i="11"/>
  <c r="M722" i="11" s="1"/>
  <c r="D181" i="1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D464" i="11" s="1"/>
  <c r="E147" i="11"/>
  <c r="E146" i="11"/>
  <c r="E145" i="11"/>
  <c r="C418" i="11" s="1"/>
  <c r="E144" i="11"/>
  <c r="C417" i="11" s="1"/>
  <c r="E142" i="11"/>
  <c r="D141" i="11"/>
  <c r="AK726" i="11" s="1"/>
  <c r="E140" i="11"/>
  <c r="D139" i="11"/>
  <c r="AI726" i="11" s="1"/>
  <c r="D138" i="11"/>
  <c r="AH726" i="11" s="1"/>
  <c r="E127" i="11"/>
  <c r="D111" i="11"/>
  <c r="F726" i="11" s="1"/>
  <c r="H80" i="11"/>
  <c r="T739" i="11" s="1"/>
  <c r="CF79" i="11"/>
  <c r="H79" i="11"/>
  <c r="S739" i="11" s="1"/>
  <c r="H78" i="11"/>
  <c r="R739" i="11" s="1"/>
  <c r="H76" i="11"/>
  <c r="P739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CE74" i="11"/>
  <c r="C464" i="11" s="1"/>
  <c r="CE73" i="11"/>
  <c r="O816" i="11" s="1"/>
  <c r="CD71" i="11"/>
  <c r="C575" i="11" s="1"/>
  <c r="CE70" i="11"/>
  <c r="C458" i="11" s="1"/>
  <c r="BN69" i="11"/>
  <c r="CE69" i="11" s="1"/>
  <c r="CE68" i="11"/>
  <c r="K816" i="11" s="1"/>
  <c r="BE66" i="11"/>
  <c r="I788" i="11" s="1"/>
  <c r="H66" i="11"/>
  <c r="I739" i="11" s="1"/>
  <c r="CE65" i="11"/>
  <c r="H816" i="11" s="1"/>
  <c r="BI64" i="11"/>
  <c r="G792" i="11" s="1"/>
  <c r="BE64" i="11"/>
  <c r="BD64" i="11"/>
  <c r="G787" i="11" s="1"/>
  <c r="AY64" i="11"/>
  <c r="G782" i="11" s="1"/>
  <c r="CE63" i="11"/>
  <c r="CE61" i="11"/>
  <c r="CB48" i="11" s="1"/>
  <c r="CB62" i="11" s="1"/>
  <c r="CA60" i="11"/>
  <c r="C810" i="11" s="1"/>
  <c r="BI60" i="11"/>
  <c r="C792" i="11" s="1"/>
  <c r="BH60" i="11"/>
  <c r="C791" i="11" s="1"/>
  <c r="BD60" i="11"/>
  <c r="AY59" i="11"/>
  <c r="B53" i="11"/>
  <c r="CE51" i="11"/>
  <c r="B49" i="11"/>
  <c r="X48" i="11"/>
  <c r="X62" i="11" s="1"/>
  <c r="CE47" i="11"/>
  <c r="BD48" i="11" l="1"/>
  <c r="BD62" i="11" s="1"/>
  <c r="AF48" i="11"/>
  <c r="AF62" i="11" s="1"/>
  <c r="CE78" i="11"/>
  <c r="I612" i="11" s="1"/>
  <c r="H48" i="11"/>
  <c r="H62" i="11" s="1"/>
  <c r="BT48" i="11"/>
  <c r="BT62" i="11" s="1"/>
  <c r="CE80" i="11"/>
  <c r="T816" i="11" s="1"/>
  <c r="E141" i="11"/>
  <c r="D186" i="11"/>
  <c r="D436" i="11" s="1"/>
  <c r="D277" i="11"/>
  <c r="D292" i="11" s="1"/>
  <c r="D341" i="11" s="1"/>
  <c r="C481" i="11" s="1"/>
  <c r="B440" i="11"/>
  <c r="F513" i="11"/>
  <c r="BL48" i="11"/>
  <c r="BL62" i="11" s="1"/>
  <c r="AN48" i="11"/>
  <c r="AN62" i="11" s="1"/>
  <c r="C204" i="11"/>
  <c r="P48" i="11"/>
  <c r="P62" i="11" s="1"/>
  <c r="E747" i="11" s="1"/>
  <c r="AV48" i="11"/>
  <c r="AV62" i="11" s="1"/>
  <c r="E779" i="11" s="1"/>
  <c r="CE76" i="11"/>
  <c r="CE79" i="11"/>
  <c r="E139" i="11"/>
  <c r="C415" i="11" s="1"/>
  <c r="H503" i="11"/>
  <c r="F508" i="11"/>
  <c r="H509" i="11"/>
  <c r="F510" i="11"/>
  <c r="H518" i="11"/>
  <c r="F519" i="11"/>
  <c r="H524" i="11"/>
  <c r="F525" i="11"/>
  <c r="F528" i="11"/>
  <c r="F531" i="11"/>
  <c r="F534" i="11"/>
  <c r="F520" i="11"/>
  <c r="F526" i="11"/>
  <c r="H529" i="11"/>
  <c r="F532" i="11"/>
  <c r="F550" i="11"/>
  <c r="E811" i="11"/>
  <c r="E763" i="11"/>
  <c r="S816" i="11"/>
  <c r="J612" i="11"/>
  <c r="C471" i="11"/>
  <c r="E771" i="11"/>
  <c r="H523" i="11"/>
  <c r="F523" i="11"/>
  <c r="G788" i="11"/>
  <c r="G815" i="11" s="1"/>
  <c r="CE64" i="11"/>
  <c r="E787" i="11"/>
  <c r="E795" i="11"/>
  <c r="P816" i="11"/>
  <c r="D612" i="11"/>
  <c r="CF76" i="11"/>
  <c r="AA52" i="11" s="1"/>
  <c r="AA67" i="11" s="1"/>
  <c r="J758" i="11" s="1"/>
  <c r="N817" i="11"/>
  <c r="D368" i="11"/>
  <c r="D373" i="11" s="1"/>
  <c r="D391" i="11" s="1"/>
  <c r="D393" i="11" s="1"/>
  <c r="D396" i="11" s="1"/>
  <c r="B465" i="11"/>
  <c r="E739" i="11"/>
  <c r="E803" i="11"/>
  <c r="AV52" i="11"/>
  <c r="AV67" i="11" s="1"/>
  <c r="J779" i="11" s="1"/>
  <c r="H496" i="11"/>
  <c r="F496" i="11"/>
  <c r="E755" i="11"/>
  <c r="BR52" i="11"/>
  <c r="BR67" i="11" s="1"/>
  <c r="J801" i="11" s="1"/>
  <c r="D816" i="11"/>
  <c r="CA48" i="11"/>
  <c r="CA62" i="11" s="1"/>
  <c r="BS48" i="11"/>
  <c r="BS62" i="11" s="1"/>
  <c r="BK48" i="11"/>
  <c r="BK62" i="11" s="1"/>
  <c r="BC48" i="11"/>
  <c r="BC62" i="11" s="1"/>
  <c r="AU48" i="11"/>
  <c r="AU62" i="11" s="1"/>
  <c r="AM48" i="11"/>
  <c r="AM62" i="11" s="1"/>
  <c r="AE48" i="11"/>
  <c r="AE62" i="11" s="1"/>
  <c r="W48" i="11"/>
  <c r="W62" i="11" s="1"/>
  <c r="O48" i="11"/>
  <c r="O62" i="11" s="1"/>
  <c r="G48" i="11"/>
  <c r="G62" i="11" s="1"/>
  <c r="BZ48" i="11"/>
  <c r="BZ62" i="11" s="1"/>
  <c r="BR48" i="11"/>
  <c r="BR62" i="11" s="1"/>
  <c r="BB48" i="11"/>
  <c r="BB62" i="11" s="1"/>
  <c r="AL48" i="11"/>
  <c r="AL62" i="11" s="1"/>
  <c r="AD48" i="11"/>
  <c r="AD62" i="11" s="1"/>
  <c r="N48" i="11"/>
  <c r="N62" i="11" s="1"/>
  <c r="BY48" i="11"/>
  <c r="BY62" i="11" s="1"/>
  <c r="BQ48" i="11"/>
  <c r="BQ62" i="11" s="1"/>
  <c r="BI48" i="11"/>
  <c r="BI62" i="11" s="1"/>
  <c r="AS48" i="11"/>
  <c r="AS62" i="11" s="1"/>
  <c r="AC48" i="11"/>
  <c r="AC62" i="11" s="1"/>
  <c r="M48" i="11"/>
  <c r="M62" i="11" s="1"/>
  <c r="BO48" i="11"/>
  <c r="BO62" i="11" s="1"/>
  <c r="AY48" i="11"/>
  <c r="AY62" i="11" s="1"/>
  <c r="AI48" i="11"/>
  <c r="AI62" i="11" s="1"/>
  <c r="K48" i="11"/>
  <c r="K62" i="11" s="1"/>
  <c r="BU48" i="11"/>
  <c r="BU62" i="11" s="1"/>
  <c r="BE48" i="11"/>
  <c r="BE62" i="11" s="1"/>
  <c r="AG48" i="11"/>
  <c r="AG62" i="11" s="1"/>
  <c r="BJ48" i="11"/>
  <c r="BJ62" i="11" s="1"/>
  <c r="AT48" i="11"/>
  <c r="AT62" i="11" s="1"/>
  <c r="V48" i="11"/>
  <c r="V62" i="11" s="1"/>
  <c r="F48" i="11"/>
  <c r="F62" i="11" s="1"/>
  <c r="BA48" i="11"/>
  <c r="BA62" i="11" s="1"/>
  <c r="AK48" i="11"/>
  <c r="AK62" i="11" s="1"/>
  <c r="U48" i="11"/>
  <c r="U62" i="11" s="1"/>
  <c r="E48" i="11"/>
  <c r="E62" i="11" s="1"/>
  <c r="BW48" i="11"/>
  <c r="BW62" i="11" s="1"/>
  <c r="BG48" i="11"/>
  <c r="BG62" i="11" s="1"/>
  <c r="AQ48" i="11"/>
  <c r="AQ62" i="11" s="1"/>
  <c r="S48" i="11"/>
  <c r="S62" i="11" s="1"/>
  <c r="C48" i="11"/>
  <c r="C427" i="11"/>
  <c r="AW48" i="11"/>
  <c r="AW62" i="11" s="1"/>
  <c r="Y48" i="11"/>
  <c r="Y62" i="11" s="1"/>
  <c r="I48" i="11"/>
  <c r="I62" i="11" s="1"/>
  <c r="BX48" i="11"/>
  <c r="BX62" i="11" s="1"/>
  <c r="BP48" i="11"/>
  <c r="BP62" i="11" s="1"/>
  <c r="BH48" i="11"/>
  <c r="BH62" i="11" s="1"/>
  <c r="AZ48" i="11"/>
  <c r="AZ62" i="11" s="1"/>
  <c r="AR48" i="11"/>
  <c r="AR62" i="11" s="1"/>
  <c r="AJ48" i="11"/>
  <c r="AJ62" i="11" s="1"/>
  <c r="AB48" i="11"/>
  <c r="AB62" i="11" s="1"/>
  <c r="T48" i="11"/>
  <c r="T62" i="11" s="1"/>
  <c r="L48" i="11"/>
  <c r="L62" i="11" s="1"/>
  <c r="D48" i="11"/>
  <c r="D62" i="11" s="1"/>
  <c r="AA48" i="11"/>
  <c r="AA62" i="11" s="1"/>
  <c r="BV48" i="11"/>
  <c r="BV62" i="11" s="1"/>
  <c r="BN48" i="11"/>
  <c r="BN62" i="11" s="1"/>
  <c r="BF48" i="11"/>
  <c r="BF62" i="11" s="1"/>
  <c r="AX48" i="11"/>
  <c r="AX62" i="11" s="1"/>
  <c r="AP48" i="11"/>
  <c r="AP62" i="11" s="1"/>
  <c r="AH48" i="11"/>
  <c r="AH62" i="11" s="1"/>
  <c r="Z48" i="11"/>
  <c r="Z62" i="11" s="1"/>
  <c r="R48" i="11"/>
  <c r="R62" i="11" s="1"/>
  <c r="J48" i="11"/>
  <c r="J62" i="11" s="1"/>
  <c r="CC48" i="11"/>
  <c r="CC62" i="11" s="1"/>
  <c r="BM48" i="11"/>
  <c r="BM62" i="11" s="1"/>
  <c r="AO48" i="11"/>
  <c r="AO62" i="11" s="1"/>
  <c r="Q48" i="11"/>
  <c r="Q62" i="11" s="1"/>
  <c r="CC722" i="11"/>
  <c r="D240" i="11"/>
  <c r="B447" i="11" s="1"/>
  <c r="H512" i="11"/>
  <c r="F512" i="11"/>
  <c r="N734" i="11"/>
  <c r="N815" i="11" s="1"/>
  <c r="CE75" i="11"/>
  <c r="D438" i="11"/>
  <c r="D435" i="11"/>
  <c r="H77" i="11"/>
  <c r="C473" i="11"/>
  <c r="E217" i="11"/>
  <c r="C478" i="11" s="1"/>
  <c r="H530" i="11"/>
  <c r="F530" i="11"/>
  <c r="F546" i="11"/>
  <c r="L612" i="11"/>
  <c r="I817" i="11"/>
  <c r="C787" i="11"/>
  <c r="C815" i="11" s="1"/>
  <c r="CE60" i="11"/>
  <c r="L797" i="11"/>
  <c r="L815" i="11" s="1"/>
  <c r="C439" i="11"/>
  <c r="H522" i="11"/>
  <c r="F522" i="11"/>
  <c r="H538" i="11"/>
  <c r="F538" i="11"/>
  <c r="B782" i="11"/>
  <c r="E544" i="11"/>
  <c r="L816" i="11"/>
  <c r="C440" i="11"/>
  <c r="H504" i="11"/>
  <c r="F504" i="11"/>
  <c r="F511" i="11"/>
  <c r="H511" i="11"/>
  <c r="H515" i="11"/>
  <c r="CE66" i="11"/>
  <c r="M816" i="11"/>
  <c r="F527" i="11"/>
  <c r="H517" i="11"/>
  <c r="F517" i="11"/>
  <c r="D463" i="11"/>
  <c r="D465" i="11" s="1"/>
  <c r="C434" i="11"/>
  <c r="CD722" i="11"/>
  <c r="BV730" i="11"/>
  <c r="B432" i="11"/>
  <c r="H535" i="11"/>
  <c r="F535" i="11"/>
  <c r="BL730" i="11"/>
  <c r="C445" i="11"/>
  <c r="H516" i="11"/>
  <c r="F516" i="11"/>
  <c r="S815" i="11"/>
  <c r="R816" i="11"/>
  <c r="K815" i="11"/>
  <c r="T815" i="11"/>
  <c r="F816" i="11"/>
  <c r="C429" i="11"/>
  <c r="E138" i="11"/>
  <c r="C414" i="11" s="1"/>
  <c r="E203" i="11"/>
  <c r="C475" i="11" s="1"/>
  <c r="C431" i="11"/>
  <c r="C463" i="11"/>
  <c r="F498" i="11"/>
  <c r="R815" i="11"/>
  <c r="I815" i="11"/>
  <c r="O815" i="11"/>
  <c r="D815" i="11"/>
  <c r="M815" i="11"/>
  <c r="F815" i="11"/>
  <c r="P815" i="11"/>
  <c r="H815" i="11"/>
  <c r="F493" i="1"/>
  <c r="D493" i="1"/>
  <c r="B493" i="1"/>
  <c r="BL52" i="11" l="1"/>
  <c r="BL67" i="11" s="1"/>
  <c r="J795" i="11" s="1"/>
  <c r="M52" i="11"/>
  <c r="M67" i="11" s="1"/>
  <c r="J744" i="11" s="1"/>
  <c r="AU52" i="11"/>
  <c r="AU67" i="11" s="1"/>
  <c r="J778" i="11" s="1"/>
  <c r="K52" i="11"/>
  <c r="K67" i="11" s="1"/>
  <c r="J742" i="11" s="1"/>
  <c r="AZ52" i="11"/>
  <c r="AZ67" i="11" s="1"/>
  <c r="J783" i="11" s="1"/>
  <c r="C52" i="11"/>
  <c r="N52" i="11"/>
  <c r="N67" i="11" s="1"/>
  <c r="J745" i="11" s="1"/>
  <c r="AG52" i="11"/>
  <c r="AG67" i="11" s="1"/>
  <c r="J764" i="11" s="1"/>
  <c r="S52" i="11"/>
  <c r="S67" i="11" s="1"/>
  <c r="J750" i="11" s="1"/>
  <c r="R52" i="11"/>
  <c r="R67" i="11" s="1"/>
  <c r="J749" i="11" s="1"/>
  <c r="BJ52" i="11"/>
  <c r="BJ67" i="11" s="1"/>
  <c r="J793" i="11" s="1"/>
  <c r="D52" i="11"/>
  <c r="D67" i="11" s="1"/>
  <c r="J735" i="11" s="1"/>
  <c r="X52" i="11"/>
  <c r="X67" i="11" s="1"/>
  <c r="J755" i="11" s="1"/>
  <c r="AO52" i="11"/>
  <c r="AO67" i="11" s="1"/>
  <c r="J772" i="11" s="1"/>
  <c r="BW52" i="11"/>
  <c r="BW67" i="11" s="1"/>
  <c r="J806" i="11" s="1"/>
  <c r="AX52" i="11"/>
  <c r="AX67" i="11" s="1"/>
  <c r="J781" i="11" s="1"/>
  <c r="BB52" i="11"/>
  <c r="BB67" i="11" s="1"/>
  <c r="J785" i="11" s="1"/>
  <c r="BV52" i="11"/>
  <c r="BV67" i="11" s="1"/>
  <c r="J805" i="11" s="1"/>
  <c r="AK52" i="11"/>
  <c r="AK67" i="11" s="1"/>
  <c r="J768" i="11" s="1"/>
  <c r="E783" i="11"/>
  <c r="AZ71" i="11"/>
  <c r="E749" i="11"/>
  <c r="R71" i="11"/>
  <c r="E810" i="11"/>
  <c r="E812" i="11"/>
  <c r="E797" i="11"/>
  <c r="E775" i="11"/>
  <c r="E768" i="11"/>
  <c r="E804" i="11"/>
  <c r="E792" i="11"/>
  <c r="E809" i="11"/>
  <c r="E794" i="11"/>
  <c r="AN52" i="11"/>
  <c r="AN67" i="11" s="1"/>
  <c r="AR52" i="11"/>
  <c r="AR67" i="11" s="1"/>
  <c r="J775" i="11" s="1"/>
  <c r="AP52" i="11"/>
  <c r="AP67" i="11" s="1"/>
  <c r="J773" i="11" s="1"/>
  <c r="BA52" i="11"/>
  <c r="BA67" i="11" s="1"/>
  <c r="J784" i="11" s="1"/>
  <c r="BY52" i="11"/>
  <c r="BY67" i="11" s="1"/>
  <c r="J808" i="11" s="1"/>
  <c r="Z52" i="11"/>
  <c r="Z67" i="11" s="1"/>
  <c r="J757" i="11" s="1"/>
  <c r="Y52" i="11"/>
  <c r="Y67" i="11" s="1"/>
  <c r="J756" i="11" s="1"/>
  <c r="BO52" i="11"/>
  <c r="BO67" i="11" s="1"/>
  <c r="J798" i="11" s="1"/>
  <c r="G816" i="11"/>
  <c r="F612" i="11"/>
  <c r="C430" i="11"/>
  <c r="C62" i="11"/>
  <c r="CE48" i="11"/>
  <c r="E758" i="11"/>
  <c r="AA71" i="11"/>
  <c r="I816" i="11"/>
  <c r="C432" i="11"/>
  <c r="E784" i="11"/>
  <c r="E791" i="11"/>
  <c r="Q739" i="11"/>
  <c r="Q815" i="11" s="1"/>
  <c r="CE77" i="11"/>
  <c r="E757" i="11"/>
  <c r="Z71" i="11"/>
  <c r="E735" i="11"/>
  <c r="D71" i="11"/>
  <c r="E799" i="11"/>
  <c r="E774" i="11"/>
  <c r="E753" i="11"/>
  <c r="E782" i="11"/>
  <c r="E745" i="11"/>
  <c r="N71" i="11"/>
  <c r="E754" i="11"/>
  <c r="BS52" i="11"/>
  <c r="BS67" i="11" s="1"/>
  <c r="J802" i="11" s="1"/>
  <c r="BT52" i="11"/>
  <c r="BT67" i="11" s="1"/>
  <c r="BX52" i="11"/>
  <c r="BX67" i="11" s="1"/>
  <c r="J807" i="11" s="1"/>
  <c r="AJ52" i="11"/>
  <c r="AJ67" i="11" s="1"/>
  <c r="J767" i="11" s="1"/>
  <c r="W52" i="11"/>
  <c r="W67" i="11" s="1"/>
  <c r="J754" i="11" s="1"/>
  <c r="AT52" i="11"/>
  <c r="AT67" i="11" s="1"/>
  <c r="J777" i="11" s="1"/>
  <c r="BF52" i="11"/>
  <c r="BF67" i="11" s="1"/>
  <c r="J789" i="11" s="1"/>
  <c r="AW52" i="11"/>
  <c r="AW67" i="11" s="1"/>
  <c r="J780" i="11" s="1"/>
  <c r="E805" i="11"/>
  <c r="BV71" i="11"/>
  <c r="E766" i="11"/>
  <c r="AV71" i="11"/>
  <c r="E765" i="11"/>
  <c r="E743" i="11"/>
  <c r="L71" i="11"/>
  <c r="E807" i="11"/>
  <c r="E790" i="11"/>
  <c r="E777" i="11"/>
  <c r="E798" i="11"/>
  <c r="BO71" i="11"/>
  <c r="E761" i="11"/>
  <c r="E762" i="11"/>
  <c r="BH52" i="11"/>
  <c r="BH67" i="11" s="1"/>
  <c r="J791" i="11" s="1"/>
  <c r="AL52" i="11"/>
  <c r="AL67" i="11" s="1"/>
  <c r="J769" i="11" s="1"/>
  <c r="AB52" i="11"/>
  <c r="AB67" i="11" s="1"/>
  <c r="J759" i="11" s="1"/>
  <c r="F52" i="11"/>
  <c r="F67" i="11" s="1"/>
  <c r="J737" i="11" s="1"/>
  <c r="CB52" i="11"/>
  <c r="CB67" i="11" s="1"/>
  <c r="BK52" i="11"/>
  <c r="BK67" i="11" s="1"/>
  <c r="J794" i="11" s="1"/>
  <c r="G52" i="11"/>
  <c r="G67" i="11" s="1"/>
  <c r="J738" i="11" s="1"/>
  <c r="BP52" i="11"/>
  <c r="BP67" i="11" s="1"/>
  <c r="J799" i="11" s="1"/>
  <c r="AH52" i="11"/>
  <c r="AH67" i="11" s="1"/>
  <c r="J765" i="11" s="1"/>
  <c r="BD52" i="11"/>
  <c r="BD67" i="11" s="1"/>
  <c r="BQ52" i="11"/>
  <c r="BQ67" i="11" s="1"/>
  <c r="J800" i="11" s="1"/>
  <c r="BE52" i="11"/>
  <c r="BE67" i="11" s="1"/>
  <c r="J788" i="11" s="1"/>
  <c r="AI52" i="11"/>
  <c r="AI67" i="11" s="1"/>
  <c r="J766" i="11" s="1"/>
  <c r="BL71" i="11"/>
  <c r="E741" i="11"/>
  <c r="E738" i="11"/>
  <c r="E737" i="11"/>
  <c r="E748" i="11"/>
  <c r="E773" i="11"/>
  <c r="AP71" i="11"/>
  <c r="E751" i="11"/>
  <c r="E740" i="11"/>
  <c r="E806" i="11"/>
  <c r="BW71" i="11"/>
  <c r="E793" i="11"/>
  <c r="BJ71" i="11"/>
  <c r="E744" i="11"/>
  <c r="M71" i="11"/>
  <c r="E769" i="11"/>
  <c r="E770" i="11"/>
  <c r="X71" i="11"/>
  <c r="H52" i="11"/>
  <c r="H67" i="11" s="1"/>
  <c r="L52" i="11"/>
  <c r="L67" i="11" s="1"/>
  <c r="J743" i="11" s="1"/>
  <c r="AC52" i="11"/>
  <c r="AC67" i="11" s="1"/>
  <c r="J760" i="11" s="1"/>
  <c r="AM52" i="11"/>
  <c r="AM67" i="11" s="1"/>
  <c r="J770" i="11" s="1"/>
  <c r="AS52" i="11"/>
  <c r="AS67" i="11" s="1"/>
  <c r="J776" i="11" s="1"/>
  <c r="BZ52" i="11"/>
  <c r="BZ67" i="11" s="1"/>
  <c r="J809" i="11" s="1"/>
  <c r="CA52" i="11"/>
  <c r="CA67" i="11" s="1"/>
  <c r="J810" i="11" s="1"/>
  <c r="BM52" i="11"/>
  <c r="BM67" i="11" s="1"/>
  <c r="J796" i="11" s="1"/>
  <c r="AQ52" i="11"/>
  <c r="AQ67" i="11" s="1"/>
  <c r="J774" i="11" s="1"/>
  <c r="E800" i="11"/>
  <c r="E750" i="11"/>
  <c r="S71" i="11"/>
  <c r="E746" i="11"/>
  <c r="N816" i="11"/>
  <c r="K612" i="11"/>
  <c r="C465" i="11"/>
  <c r="E772" i="11"/>
  <c r="AO71" i="11"/>
  <c r="E781" i="11"/>
  <c r="AX71" i="11"/>
  <c r="E759" i="11"/>
  <c r="E756" i="11"/>
  <c r="E736" i="11"/>
  <c r="E71" i="11"/>
  <c r="E764" i="11"/>
  <c r="E760" i="11"/>
  <c r="E785" i="11"/>
  <c r="BB71" i="11"/>
  <c r="E778" i="11"/>
  <c r="AU71" i="11"/>
  <c r="T52" i="11"/>
  <c r="T67" i="11" s="1"/>
  <c r="J751" i="11" s="1"/>
  <c r="V52" i="11"/>
  <c r="V67" i="11" s="1"/>
  <c r="J753" i="11" s="1"/>
  <c r="BI52" i="11"/>
  <c r="BI67" i="11" s="1"/>
  <c r="J792" i="11" s="1"/>
  <c r="J52" i="11"/>
  <c r="J67" i="11" s="1"/>
  <c r="J741" i="11" s="1"/>
  <c r="BC52" i="11"/>
  <c r="BC67" i="11" s="1"/>
  <c r="J786" i="11" s="1"/>
  <c r="E52" i="11"/>
  <c r="E67" i="11" s="1"/>
  <c r="J736" i="11" s="1"/>
  <c r="I52" i="11"/>
  <c r="I67" i="11" s="1"/>
  <c r="J740" i="11" s="1"/>
  <c r="BU52" i="11"/>
  <c r="BU67" i="11" s="1"/>
  <c r="J804" i="11" s="1"/>
  <c r="AY52" i="11"/>
  <c r="AY67" i="11" s="1"/>
  <c r="J782" i="11" s="1"/>
  <c r="BI730" i="11"/>
  <c r="C816" i="11"/>
  <c r="H612" i="11"/>
  <c r="E742" i="11"/>
  <c r="E802" i="11"/>
  <c r="C67" i="11"/>
  <c r="E808" i="11"/>
  <c r="D242" i="11"/>
  <c r="B448" i="11" s="1"/>
  <c r="E796" i="11"/>
  <c r="BM71" i="11"/>
  <c r="E789" i="11"/>
  <c r="E767" i="11"/>
  <c r="AJ71" i="11"/>
  <c r="E780" i="11"/>
  <c r="E752" i="11"/>
  <c r="E788" i="11"/>
  <c r="BE71" i="11"/>
  <c r="E776" i="11"/>
  <c r="E801" i="11"/>
  <c r="BR71" i="11"/>
  <c r="E786" i="11"/>
  <c r="AD52" i="11"/>
  <c r="AD67" i="11" s="1"/>
  <c r="J761" i="11" s="1"/>
  <c r="AF52" i="11"/>
  <c r="AF67" i="11" s="1"/>
  <c r="U52" i="11"/>
  <c r="U67" i="11" s="1"/>
  <c r="J752" i="11" s="1"/>
  <c r="AE52" i="11"/>
  <c r="AE67" i="11" s="1"/>
  <c r="J762" i="11" s="1"/>
  <c r="BN52" i="11"/>
  <c r="BN67" i="11" s="1"/>
  <c r="J797" i="11" s="1"/>
  <c r="O52" i="11"/>
  <c r="O67" i="11" s="1"/>
  <c r="J746" i="11" s="1"/>
  <c r="Q52" i="11"/>
  <c r="Q67" i="11" s="1"/>
  <c r="J748" i="11" s="1"/>
  <c r="CC52" i="11"/>
  <c r="CC67" i="11" s="1"/>
  <c r="J812" i="11" s="1"/>
  <c r="BG52" i="11"/>
  <c r="BG67" i="11" s="1"/>
  <c r="J790" i="11" s="1"/>
  <c r="E204" i="11"/>
  <c r="C476" i="11" s="1"/>
  <c r="P52" i="11"/>
  <c r="P67" i="11" s="1"/>
  <c r="B575" i="1"/>
  <c r="B568" i="1"/>
  <c r="B552" i="1"/>
  <c r="B548" i="1"/>
  <c r="B532" i="1"/>
  <c r="B528" i="1"/>
  <c r="B520" i="1"/>
  <c r="B516" i="1"/>
  <c r="A493" i="1"/>
  <c r="A730" i="1"/>
  <c r="A726" i="1"/>
  <c r="A722" i="1"/>
  <c r="C115" i="8"/>
  <c r="CB730" i="1"/>
  <c r="C444" i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I186" i="9"/>
  <c r="AS75" i="1"/>
  <c r="N776" i="1" s="1"/>
  <c r="AT75" i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/>
  <c r="AA75" i="1"/>
  <c r="Z75" i="1"/>
  <c r="E122" i="9" s="1"/>
  <c r="X75" i="1"/>
  <c r="W75" i="1"/>
  <c r="V75" i="1"/>
  <c r="H90" i="9" s="1"/>
  <c r="T75" i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N740" i="1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/>
  <c r="CE73" i="1"/>
  <c r="O816" i="1" s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C16" i="8" s="1"/>
  <c r="D265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C364" i="1" s="1"/>
  <c r="C116" i="8" s="1"/>
  <c r="D236" i="1"/>
  <c r="C365" i="1" s="1"/>
  <c r="D240" i="1"/>
  <c r="C366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D32" i="6" s="1"/>
  <c r="E196" i="1"/>
  <c r="E197" i="1"/>
  <c r="E198" i="1"/>
  <c r="C270" i="1" s="1"/>
  <c r="E199" i="1"/>
  <c r="C271" i="1" s="1"/>
  <c r="S730" i="1" s="1"/>
  <c r="E200" i="1"/>
  <c r="C272" i="1" s="1"/>
  <c r="E201" i="1"/>
  <c r="C273" i="1" s="1"/>
  <c r="U730" i="1" s="1"/>
  <c r="E202" i="1"/>
  <c r="E203" i="1"/>
  <c r="D204" i="1"/>
  <c r="B204" i="1"/>
  <c r="C16" i="6" s="1"/>
  <c r="D190" i="1"/>
  <c r="D437" i="1" s="1"/>
  <c r="D186" i="1"/>
  <c r="D436" i="1" s="1"/>
  <c r="D181" i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E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52" i="1"/>
  <c r="N761" i="1"/>
  <c r="N764" i="1"/>
  <c r="N771" i="1"/>
  <c r="N745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R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T730" i="1"/>
  <c r="R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4" i="1"/>
  <c r="B473" i="1"/>
  <c r="B471" i="1"/>
  <c r="B464" i="1"/>
  <c r="B463" i="1"/>
  <c r="C459" i="1"/>
  <c r="B459" i="1"/>
  <c r="B458" i="1"/>
  <c r="B455" i="1"/>
  <c r="B454" i="1"/>
  <c r="B453" i="1"/>
  <c r="C447" i="1"/>
  <c r="B447" i="1"/>
  <c r="C446" i="1"/>
  <c r="B445" i="1"/>
  <c r="C429" i="1"/>
  <c r="C434" i="1"/>
  <c r="B438" i="1"/>
  <c r="B439" i="1"/>
  <c r="C439" i="1"/>
  <c r="C438" i="1"/>
  <c r="B437" i="1"/>
  <c r="B436" i="1"/>
  <c r="B435" i="1"/>
  <c r="B428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0" i="8"/>
  <c r="C124" i="8"/>
  <c r="C123" i="8"/>
  <c r="C118" i="8"/>
  <c r="C117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1" i="8"/>
  <c r="C30" i="8"/>
  <c r="C28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N760" i="1"/>
  <c r="N743" i="1"/>
  <c r="N775" i="1"/>
  <c r="N753" i="1"/>
  <c r="N774" i="1"/>
  <c r="F816" i="1"/>
  <c r="I377" i="9"/>
  <c r="C464" i="1"/>
  <c r="F90" i="9"/>
  <c r="N751" i="1"/>
  <c r="C218" i="9"/>
  <c r="D366" i="9"/>
  <c r="G812" i="1"/>
  <c r="CE64" i="1"/>
  <c r="D368" i="9"/>
  <c r="I812" i="1"/>
  <c r="C276" i="9"/>
  <c r="CE70" i="1"/>
  <c r="CE76" i="1"/>
  <c r="D612" i="1" s="1"/>
  <c r="P812" i="1"/>
  <c r="CE77" i="1"/>
  <c r="G612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C267" i="1" s="1"/>
  <c r="S722" i="1"/>
  <c r="BH722" i="1"/>
  <c r="C28" i="6"/>
  <c r="B217" i="1"/>
  <c r="C32" i="6" s="1"/>
  <c r="C140" i="8"/>
  <c r="L817" i="1"/>
  <c r="CC73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4" i="6"/>
  <c r="AE48" i="1"/>
  <c r="AE62" i="1" s="1"/>
  <c r="CD722" i="1"/>
  <c r="CD71" i="1"/>
  <c r="E373" i="9" s="1"/>
  <c r="N765" i="1"/>
  <c r="N757" i="1"/>
  <c r="K816" i="1"/>
  <c r="C615" i="1"/>
  <c r="E372" i="9"/>
  <c r="C575" i="1"/>
  <c r="I816" i="1" l="1"/>
  <c r="C383" i="1"/>
  <c r="D367" i="1"/>
  <c r="F612" i="1"/>
  <c r="C381" i="1"/>
  <c r="N766" i="1"/>
  <c r="C25" i="8"/>
  <c r="C29" i="8"/>
  <c r="C421" i="1"/>
  <c r="D433" i="1"/>
  <c r="C445" i="1"/>
  <c r="B468" i="1"/>
  <c r="B472" i="1"/>
  <c r="O730" i="1"/>
  <c r="N768" i="1"/>
  <c r="C474" i="1"/>
  <c r="C274" i="1"/>
  <c r="I365" i="9"/>
  <c r="C380" i="1"/>
  <c r="U71" i="11"/>
  <c r="G71" i="11"/>
  <c r="AQ71" i="11"/>
  <c r="BK71" i="11"/>
  <c r="C635" i="11" s="1"/>
  <c r="D13" i="7"/>
  <c r="C470" i="1"/>
  <c r="C269" i="1"/>
  <c r="C431" i="1"/>
  <c r="C382" i="1"/>
  <c r="BF71" i="11"/>
  <c r="AG71" i="11"/>
  <c r="AL71" i="11"/>
  <c r="C531" i="11" s="1"/>
  <c r="G531" i="11" s="1"/>
  <c r="I71" i="11"/>
  <c r="BX71" i="11"/>
  <c r="AK71" i="11"/>
  <c r="F11" i="6"/>
  <c r="C472" i="1"/>
  <c r="I380" i="9"/>
  <c r="G122" i="9"/>
  <c r="D815" i="1"/>
  <c r="N739" i="1"/>
  <c r="C469" i="1"/>
  <c r="C268" i="1"/>
  <c r="I370" i="9"/>
  <c r="C385" i="1"/>
  <c r="BK48" i="1"/>
  <c r="BK62" i="1" s="1"/>
  <c r="G268" i="9" s="1"/>
  <c r="C378" i="1"/>
  <c r="BY71" i="11"/>
  <c r="C570" i="11" s="1"/>
  <c r="K71" i="11"/>
  <c r="J71" i="11"/>
  <c r="AT71" i="11"/>
  <c r="W71" i="11"/>
  <c r="C688" i="11" s="1"/>
  <c r="CA71" i="11"/>
  <c r="B440" i="1"/>
  <c r="D5" i="7"/>
  <c r="F9" i="6"/>
  <c r="F8" i="6"/>
  <c r="C34" i="5"/>
  <c r="D428" i="1"/>
  <c r="C415" i="1"/>
  <c r="R816" i="1"/>
  <c r="I612" i="1"/>
  <c r="I381" i="9"/>
  <c r="P816" i="1"/>
  <c r="CF76" i="1"/>
  <c r="AS52" i="1" s="1"/>
  <c r="AS67" i="1" s="1"/>
  <c r="C440" i="1"/>
  <c r="L816" i="1"/>
  <c r="H815" i="1"/>
  <c r="I366" i="9"/>
  <c r="G816" i="1"/>
  <c r="C430" i="1"/>
  <c r="F48" i="1"/>
  <c r="F62" i="1" s="1"/>
  <c r="F12" i="9" s="1"/>
  <c r="AI48" i="1"/>
  <c r="AI62" i="1" s="1"/>
  <c r="E766" i="1" s="1"/>
  <c r="I48" i="1"/>
  <c r="I62" i="1" s="1"/>
  <c r="I12" i="9" s="1"/>
  <c r="D48" i="1"/>
  <c r="D62" i="1" s="1"/>
  <c r="D12" i="9" s="1"/>
  <c r="AF48" i="1"/>
  <c r="AF62" i="1" s="1"/>
  <c r="D140" i="9" s="1"/>
  <c r="AT48" i="1"/>
  <c r="AT62" i="1" s="1"/>
  <c r="E777" i="1" s="1"/>
  <c r="BM48" i="1"/>
  <c r="BM62" i="1" s="1"/>
  <c r="E796" i="1" s="1"/>
  <c r="BF48" i="1"/>
  <c r="BF62" i="1" s="1"/>
  <c r="BR48" i="1"/>
  <c r="BR62" i="1" s="1"/>
  <c r="E801" i="1" s="1"/>
  <c r="D816" i="1"/>
  <c r="AD48" i="1"/>
  <c r="AD62" i="1" s="1"/>
  <c r="I108" i="9" s="1"/>
  <c r="AR48" i="1"/>
  <c r="AR62" i="1" s="1"/>
  <c r="E775" i="1" s="1"/>
  <c r="BD48" i="1"/>
  <c r="BD62" i="1" s="1"/>
  <c r="E787" i="1" s="1"/>
  <c r="BP48" i="1"/>
  <c r="BP62" i="1" s="1"/>
  <c r="E300" i="9" s="1"/>
  <c r="C48" i="1"/>
  <c r="C62" i="1" s="1"/>
  <c r="E734" i="1" s="1"/>
  <c r="CC48" i="1"/>
  <c r="CC62" i="1" s="1"/>
  <c r="E812" i="1" s="1"/>
  <c r="BC48" i="1"/>
  <c r="BC62" i="1" s="1"/>
  <c r="F236" i="9" s="1"/>
  <c r="I363" i="9"/>
  <c r="AS48" i="1"/>
  <c r="AS62" i="1" s="1"/>
  <c r="E776" i="1" s="1"/>
  <c r="AH48" i="1"/>
  <c r="AH62" i="1" s="1"/>
  <c r="E765" i="1" s="1"/>
  <c r="BT48" i="1"/>
  <c r="BT62" i="1" s="1"/>
  <c r="E803" i="1" s="1"/>
  <c r="AQ48" i="1"/>
  <c r="AQ62" i="1" s="1"/>
  <c r="E774" i="1" s="1"/>
  <c r="Q48" i="1"/>
  <c r="Q62" i="1" s="1"/>
  <c r="BU48" i="1"/>
  <c r="BU62" i="1" s="1"/>
  <c r="C332" i="9" s="1"/>
  <c r="M48" i="1"/>
  <c r="M62" i="1" s="1"/>
  <c r="F44" i="9" s="1"/>
  <c r="H48" i="1"/>
  <c r="H62" i="1" s="1"/>
  <c r="E739" i="1" s="1"/>
  <c r="J48" i="1"/>
  <c r="J62" i="1" s="1"/>
  <c r="AV48" i="1"/>
  <c r="AV62" i="1" s="1"/>
  <c r="E779" i="1" s="1"/>
  <c r="BH48" i="1"/>
  <c r="BH62" i="1" s="1"/>
  <c r="E791" i="1" s="1"/>
  <c r="BV48" i="1"/>
  <c r="BV62" i="1" s="1"/>
  <c r="AY48" i="1"/>
  <c r="AY62" i="1" s="1"/>
  <c r="E782" i="1" s="1"/>
  <c r="Y48" i="1"/>
  <c r="Y62" i="1" s="1"/>
  <c r="E48" i="1"/>
  <c r="E62" i="1" s="1"/>
  <c r="E12" i="9" s="1"/>
  <c r="BS48" i="1"/>
  <c r="BS62" i="1" s="1"/>
  <c r="H300" i="9" s="1"/>
  <c r="L48" i="1"/>
  <c r="L62" i="1" s="1"/>
  <c r="E44" i="9" s="1"/>
  <c r="BG48" i="1"/>
  <c r="BG62" i="1" s="1"/>
  <c r="E790" i="1" s="1"/>
  <c r="AG48" i="1"/>
  <c r="AG62" i="1" s="1"/>
  <c r="U48" i="1"/>
  <c r="U62" i="1" s="1"/>
  <c r="C427" i="1"/>
  <c r="AU48" i="1"/>
  <c r="AU62" i="1" s="1"/>
  <c r="P48" i="1"/>
  <c r="P62" i="1" s="1"/>
  <c r="I44" i="9" s="1"/>
  <c r="AJ48" i="1"/>
  <c r="AJ62" i="1" s="1"/>
  <c r="H140" i="9" s="1"/>
  <c r="R48" i="1"/>
  <c r="R62" i="1" s="1"/>
  <c r="D76" i="9" s="1"/>
  <c r="AL48" i="1"/>
  <c r="AL62" i="1" s="1"/>
  <c r="E769" i="1" s="1"/>
  <c r="BY48" i="1"/>
  <c r="BY62" i="1" s="1"/>
  <c r="G332" i="9" s="1"/>
  <c r="K48" i="1"/>
  <c r="K62" i="1" s="1"/>
  <c r="E742" i="1" s="1"/>
  <c r="BO48" i="1"/>
  <c r="BO62" i="1" s="1"/>
  <c r="D300" i="9" s="1"/>
  <c r="AO48" i="1"/>
  <c r="AO62" i="1" s="1"/>
  <c r="E772" i="1" s="1"/>
  <c r="AK48" i="1"/>
  <c r="AK62" i="1" s="1"/>
  <c r="I140" i="9" s="1"/>
  <c r="BI48" i="1"/>
  <c r="BI62" i="1" s="1"/>
  <c r="E268" i="9" s="1"/>
  <c r="AC48" i="1"/>
  <c r="AC62" i="1" s="1"/>
  <c r="H108" i="9" s="1"/>
  <c r="T48" i="1"/>
  <c r="T62" i="1" s="1"/>
  <c r="N48" i="1"/>
  <c r="N62" i="1" s="1"/>
  <c r="BJ48" i="1"/>
  <c r="BJ62" i="1" s="1"/>
  <c r="V48" i="1"/>
  <c r="V62" i="1" s="1"/>
  <c r="AN48" i="1"/>
  <c r="AN62" i="1" s="1"/>
  <c r="AZ48" i="1"/>
  <c r="AZ62" i="1" s="1"/>
  <c r="E783" i="1" s="1"/>
  <c r="BL48" i="1"/>
  <c r="BL62" i="1" s="1"/>
  <c r="E795" i="1" s="1"/>
  <c r="CA48" i="1"/>
  <c r="CA62" i="1" s="1"/>
  <c r="I332" i="9" s="1"/>
  <c r="S48" i="1"/>
  <c r="S62" i="1" s="1"/>
  <c r="BW48" i="1"/>
  <c r="BW62" i="1" s="1"/>
  <c r="AW48" i="1"/>
  <c r="AW62" i="1" s="1"/>
  <c r="E780" i="1" s="1"/>
  <c r="BA48" i="1"/>
  <c r="BA62" i="1" s="1"/>
  <c r="D236" i="9" s="1"/>
  <c r="AM48" i="1"/>
  <c r="AM62" i="1" s="1"/>
  <c r="D172" i="9" s="1"/>
  <c r="G48" i="1"/>
  <c r="G62" i="1" s="1"/>
  <c r="G12" i="9" s="1"/>
  <c r="X48" i="1"/>
  <c r="X62" i="1" s="1"/>
  <c r="AX48" i="1"/>
  <c r="AX62" i="1" s="1"/>
  <c r="H204" i="9" s="1"/>
  <c r="BX48" i="1"/>
  <c r="BX62" i="1" s="1"/>
  <c r="F332" i="9" s="1"/>
  <c r="Z48" i="1"/>
  <c r="Z62" i="1" s="1"/>
  <c r="E757" i="1" s="1"/>
  <c r="AP48" i="1"/>
  <c r="AP62" i="1" s="1"/>
  <c r="G172" i="9" s="1"/>
  <c r="BB48" i="1"/>
  <c r="BB62" i="1" s="1"/>
  <c r="BN48" i="1"/>
  <c r="BN62" i="1" s="1"/>
  <c r="CB48" i="1"/>
  <c r="CB62" i="1" s="1"/>
  <c r="C364" i="9" s="1"/>
  <c r="AA48" i="1"/>
  <c r="AA62" i="1" s="1"/>
  <c r="F108" i="9" s="1"/>
  <c r="BE48" i="1"/>
  <c r="BE62" i="1" s="1"/>
  <c r="BQ48" i="1"/>
  <c r="BQ62" i="1" s="1"/>
  <c r="E800" i="1" s="1"/>
  <c r="O48" i="1"/>
  <c r="O62" i="1" s="1"/>
  <c r="BZ48" i="1"/>
  <c r="BZ62" i="1" s="1"/>
  <c r="H332" i="9" s="1"/>
  <c r="AB48" i="1"/>
  <c r="AB62" i="1" s="1"/>
  <c r="G108" i="9" s="1"/>
  <c r="C816" i="1"/>
  <c r="BI730" i="1"/>
  <c r="E794" i="1"/>
  <c r="E737" i="1"/>
  <c r="J734" i="11"/>
  <c r="CE67" i="11"/>
  <c r="C677" i="11"/>
  <c r="C505" i="11"/>
  <c r="G505" i="11" s="1"/>
  <c r="C706" i="11"/>
  <c r="C534" i="11"/>
  <c r="G534" i="11" s="1"/>
  <c r="J747" i="11"/>
  <c r="P71" i="11"/>
  <c r="CE52" i="11"/>
  <c r="C698" i="11"/>
  <c r="C526" i="11"/>
  <c r="G526" i="11" s="1"/>
  <c r="C543" i="11"/>
  <c r="C616" i="11"/>
  <c r="J811" i="11"/>
  <c r="CB71" i="11"/>
  <c r="C567" i="11"/>
  <c r="C642" i="11"/>
  <c r="J803" i="11"/>
  <c r="BT71" i="11"/>
  <c r="V71" i="11"/>
  <c r="C691" i="11"/>
  <c r="C519" i="11"/>
  <c r="G519" i="11" s="1"/>
  <c r="J771" i="11"/>
  <c r="AN71" i="11"/>
  <c r="J763" i="11"/>
  <c r="AF71" i="11"/>
  <c r="C647" i="11"/>
  <c r="C572" i="11"/>
  <c r="BC71" i="11"/>
  <c r="C686" i="11"/>
  <c r="C514" i="11"/>
  <c r="C558" i="11"/>
  <c r="C638" i="11"/>
  <c r="BQ71" i="11"/>
  <c r="C678" i="11"/>
  <c r="C506" i="11"/>
  <c r="G506" i="11" s="1"/>
  <c r="T71" i="11"/>
  <c r="C672" i="11"/>
  <c r="C500" i="11"/>
  <c r="G500" i="11" s="1"/>
  <c r="J787" i="11"/>
  <c r="BD71" i="11"/>
  <c r="C539" i="11"/>
  <c r="G539" i="11" s="1"/>
  <c r="C711" i="11"/>
  <c r="AH71" i="11"/>
  <c r="BZ71" i="11"/>
  <c r="AR71" i="11"/>
  <c r="C550" i="11"/>
  <c r="C614" i="11"/>
  <c r="C676" i="11"/>
  <c r="C504" i="11"/>
  <c r="G504" i="11" s="1"/>
  <c r="C547" i="11"/>
  <c r="C632" i="11"/>
  <c r="Y71" i="11"/>
  <c r="C507" i="11"/>
  <c r="G507" i="11" s="1"/>
  <c r="C679" i="11"/>
  <c r="BP71" i="11"/>
  <c r="BH71" i="11"/>
  <c r="C511" i="11"/>
  <c r="G511" i="11" s="1"/>
  <c r="C683" i="11"/>
  <c r="Q816" i="11"/>
  <c r="G612" i="11"/>
  <c r="CF77" i="11"/>
  <c r="C563" i="11"/>
  <c r="C626" i="11"/>
  <c r="AW71" i="11"/>
  <c r="J739" i="11"/>
  <c r="H71" i="11"/>
  <c r="C555" i="11"/>
  <c r="C617" i="11"/>
  <c r="C707" i="11"/>
  <c r="C535" i="11"/>
  <c r="G535" i="11" s="1"/>
  <c r="C503" i="11"/>
  <c r="G503" i="11" s="1"/>
  <c r="C675" i="11"/>
  <c r="AE71" i="11"/>
  <c r="BG71" i="11"/>
  <c r="C541" i="11"/>
  <c r="C713" i="11"/>
  <c r="E734" i="11"/>
  <c r="E815" i="11" s="1"/>
  <c r="C71" i="11"/>
  <c r="CE62" i="11"/>
  <c r="BI71" i="11"/>
  <c r="BN71" i="11"/>
  <c r="C551" i="11"/>
  <c r="C629" i="11"/>
  <c r="C674" i="11"/>
  <c r="C502" i="11"/>
  <c r="G502" i="11" s="1"/>
  <c r="C702" i="11"/>
  <c r="C530" i="11"/>
  <c r="G530" i="11" s="1"/>
  <c r="BS71" i="11"/>
  <c r="C670" i="11"/>
  <c r="C498" i="11"/>
  <c r="G498" i="11" s="1"/>
  <c r="C708" i="11"/>
  <c r="C536" i="11"/>
  <c r="G536" i="11" s="1"/>
  <c r="AC71" i="11"/>
  <c r="AB71" i="11"/>
  <c r="C689" i="11"/>
  <c r="C517" i="11"/>
  <c r="G517" i="11" s="1"/>
  <c r="AI71" i="11"/>
  <c r="AY71" i="11"/>
  <c r="C669" i="11"/>
  <c r="C497" i="11"/>
  <c r="G497" i="11" s="1"/>
  <c r="BA71" i="11"/>
  <c r="C628" i="11"/>
  <c r="C545" i="11"/>
  <c r="C684" i="11"/>
  <c r="C512" i="11"/>
  <c r="G512" i="11" s="1"/>
  <c r="C703" i="11"/>
  <c r="F71" i="11"/>
  <c r="C627" i="11"/>
  <c r="C560" i="11"/>
  <c r="C712" i="11"/>
  <c r="C540" i="11"/>
  <c r="G540" i="11" s="1"/>
  <c r="C692" i="11"/>
  <c r="C520" i="11"/>
  <c r="G520" i="11" s="1"/>
  <c r="AS71" i="11"/>
  <c r="C701" i="11"/>
  <c r="C529" i="11"/>
  <c r="G529" i="11" s="1"/>
  <c r="O71" i="11"/>
  <c r="AM71" i="11"/>
  <c r="C643" i="11"/>
  <c r="C568" i="11"/>
  <c r="Q71" i="11"/>
  <c r="C557" i="11"/>
  <c r="C637" i="11"/>
  <c r="AD71" i="11"/>
  <c r="C569" i="11"/>
  <c r="C644" i="11"/>
  <c r="BU71" i="11"/>
  <c r="CC71" i="11"/>
  <c r="R815" i="1"/>
  <c r="N748" i="1"/>
  <c r="C90" i="9"/>
  <c r="I26" i="9"/>
  <c r="D218" i="9"/>
  <c r="N777" i="1"/>
  <c r="B498" i="1"/>
  <c r="B544" i="1"/>
  <c r="F10" i="4"/>
  <c r="F15" i="6"/>
  <c r="C475" i="1"/>
  <c r="N817" i="1"/>
  <c r="B465" i="1"/>
  <c r="C112" i="8"/>
  <c r="B572" i="1"/>
  <c r="N747" i="1"/>
  <c r="C815" i="1"/>
  <c r="F815" i="1"/>
  <c r="N778" i="1"/>
  <c r="G28" i="4"/>
  <c r="F28" i="4"/>
  <c r="N754" i="1"/>
  <c r="I90" i="9"/>
  <c r="B536" i="1"/>
  <c r="CF77" i="1"/>
  <c r="Q816" i="1"/>
  <c r="C122" i="9"/>
  <c r="N755" i="1"/>
  <c r="N770" i="1"/>
  <c r="D186" i="9"/>
  <c r="B505" i="1"/>
  <c r="C458" i="1"/>
  <c r="M816" i="1"/>
  <c r="E762" i="1"/>
  <c r="C140" i="9"/>
  <c r="D463" i="1"/>
  <c r="G19" i="4"/>
  <c r="E19" i="4"/>
  <c r="C27" i="5"/>
  <c r="D435" i="1"/>
  <c r="C473" i="1"/>
  <c r="F12" i="6"/>
  <c r="H58" i="9"/>
  <c r="N746" i="1"/>
  <c r="B511" i="1"/>
  <c r="B550" i="1"/>
  <c r="B564" i="1"/>
  <c r="I368" i="9"/>
  <c r="C432" i="1"/>
  <c r="I372" i="9"/>
  <c r="N769" i="1"/>
  <c r="F122" i="9"/>
  <c r="N758" i="1"/>
  <c r="B501" i="1"/>
  <c r="B540" i="1"/>
  <c r="N762" i="1"/>
  <c r="B515" i="1"/>
  <c r="I815" i="1"/>
  <c r="G815" i="1"/>
  <c r="P815" i="1"/>
  <c r="Q815" i="1"/>
  <c r="S815" i="1"/>
  <c r="I362" i="9"/>
  <c r="B10" i="4"/>
  <c r="W48" i="1"/>
  <c r="W62" i="1" s="1"/>
  <c r="E754" i="1" s="1"/>
  <c r="B446" i="1"/>
  <c r="D242" i="1"/>
  <c r="B542" i="1"/>
  <c r="B558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B526" i="1"/>
  <c r="BE52" i="1"/>
  <c r="BE67" i="1" s="1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B518" i="1"/>
  <c r="B522" i="1"/>
  <c r="B538" i="1"/>
  <c r="B554" i="1"/>
  <c r="B570" i="1"/>
  <c r="D464" i="1"/>
  <c r="K815" i="1"/>
  <c r="H154" i="9"/>
  <c r="N767" i="1"/>
  <c r="I367" i="9"/>
  <c r="H816" i="1"/>
  <c r="M815" i="1"/>
  <c r="B496" i="1"/>
  <c r="D434" i="1"/>
  <c r="L815" i="1"/>
  <c r="C58" i="9"/>
  <c r="N741" i="1"/>
  <c r="N744" i="1"/>
  <c r="N756" i="1"/>
  <c r="N750" i="1"/>
  <c r="B510" i="1"/>
  <c r="B502" i="1"/>
  <c r="B504" i="1"/>
  <c r="B512" i="1"/>
  <c r="B506" i="1"/>
  <c r="B514" i="1"/>
  <c r="B534" i="1"/>
  <c r="B566" i="1"/>
  <c r="B500" i="1"/>
  <c r="B508" i="1"/>
  <c r="B530" i="1"/>
  <c r="B546" i="1"/>
  <c r="B562" i="1"/>
  <c r="B503" i="1"/>
  <c r="B507" i="1"/>
  <c r="B509" i="1"/>
  <c r="B513" i="1"/>
  <c r="BS730" i="1" l="1"/>
  <c r="C131" i="8"/>
  <c r="F817" i="1"/>
  <c r="B429" i="1"/>
  <c r="C448" i="1"/>
  <c r="D368" i="1"/>
  <c r="C119" i="8"/>
  <c r="B427" i="1"/>
  <c r="D817" i="1"/>
  <c r="C129" i="8"/>
  <c r="BQ730" i="1"/>
  <c r="P730" i="1"/>
  <c r="B469" i="1"/>
  <c r="C26" i="8"/>
  <c r="Q730" i="1"/>
  <c r="B470" i="1"/>
  <c r="C27" i="8"/>
  <c r="I817" i="1"/>
  <c r="B432" i="1"/>
  <c r="BV730" i="1"/>
  <c r="C134" i="8"/>
  <c r="B478" i="1"/>
  <c r="X730" i="1"/>
  <c r="C34" i="8"/>
  <c r="C516" i="11"/>
  <c r="G516" i="11" s="1"/>
  <c r="C556" i="11"/>
  <c r="C645" i="11"/>
  <c r="V730" i="1"/>
  <c r="B475" i="1"/>
  <c r="C32" i="8"/>
  <c r="C132" i="8"/>
  <c r="BT730" i="1"/>
  <c r="G817" i="1"/>
  <c r="B430" i="1"/>
  <c r="C172" i="9"/>
  <c r="C136" i="8"/>
  <c r="B434" i="1"/>
  <c r="BX730" i="1"/>
  <c r="K817" i="1"/>
  <c r="B431" i="1"/>
  <c r="H817" i="1"/>
  <c r="C133" i="8"/>
  <c r="BU730" i="1"/>
  <c r="D275" i="1"/>
  <c r="D465" i="1"/>
  <c r="Q52" i="1"/>
  <c r="Q67" i="1" s="1"/>
  <c r="J748" i="1" s="1"/>
  <c r="AK52" i="1"/>
  <c r="AK67" i="1" s="1"/>
  <c r="AK71" i="1" s="1"/>
  <c r="C530" i="1" s="1"/>
  <c r="G530" i="1" s="1"/>
  <c r="AN52" i="1"/>
  <c r="AN67" i="1" s="1"/>
  <c r="J771" i="1" s="1"/>
  <c r="AM52" i="1"/>
  <c r="AM67" i="1" s="1"/>
  <c r="BW52" i="1"/>
  <c r="BW67" i="1" s="1"/>
  <c r="J806" i="1" s="1"/>
  <c r="AF52" i="1"/>
  <c r="AF67" i="1" s="1"/>
  <c r="D145" i="9" s="1"/>
  <c r="BV52" i="1"/>
  <c r="BV67" i="1" s="1"/>
  <c r="BV71" i="1" s="1"/>
  <c r="D341" i="9" s="1"/>
  <c r="K52" i="1"/>
  <c r="K67" i="1" s="1"/>
  <c r="R52" i="1"/>
  <c r="R67" i="1" s="1"/>
  <c r="J749" i="1" s="1"/>
  <c r="AC52" i="1"/>
  <c r="AC67" i="1" s="1"/>
  <c r="H113" i="9" s="1"/>
  <c r="O52" i="1"/>
  <c r="O67" i="1" s="1"/>
  <c r="J746" i="1" s="1"/>
  <c r="AW52" i="1"/>
  <c r="AW67" i="1" s="1"/>
  <c r="AW71" i="1" s="1"/>
  <c r="C631" i="1" s="1"/>
  <c r="BX52" i="1"/>
  <c r="BX67" i="1" s="1"/>
  <c r="BX71" i="1" s="1"/>
  <c r="F341" i="9" s="1"/>
  <c r="E52" i="1"/>
  <c r="E67" i="1" s="1"/>
  <c r="AY52" i="1"/>
  <c r="AY67" i="1" s="1"/>
  <c r="I209" i="9" s="1"/>
  <c r="AE52" i="1"/>
  <c r="AE67" i="1" s="1"/>
  <c r="C145" i="9" s="1"/>
  <c r="BB52" i="1"/>
  <c r="BB67" i="1" s="1"/>
  <c r="BB71" i="1" s="1"/>
  <c r="AI52" i="1"/>
  <c r="AI67" i="1" s="1"/>
  <c r="AI71" i="1" s="1"/>
  <c r="C700" i="1" s="1"/>
  <c r="BY52" i="1"/>
  <c r="BY67" i="1" s="1"/>
  <c r="AU52" i="1"/>
  <c r="AU67" i="1" s="1"/>
  <c r="AU71" i="1" s="1"/>
  <c r="C540" i="1" s="1"/>
  <c r="G540" i="1" s="1"/>
  <c r="C209" i="9"/>
  <c r="J776" i="1"/>
  <c r="X52" i="1"/>
  <c r="X67" i="1" s="1"/>
  <c r="X71" i="1" s="1"/>
  <c r="C689" i="1" s="1"/>
  <c r="L52" i="1"/>
  <c r="L67" i="1" s="1"/>
  <c r="J52" i="1"/>
  <c r="J67" i="1" s="1"/>
  <c r="J71" i="1" s="1"/>
  <c r="BS52" i="1"/>
  <c r="BS67" i="1" s="1"/>
  <c r="BS71" i="1" s="1"/>
  <c r="M52" i="1"/>
  <c r="M67" i="1" s="1"/>
  <c r="F52" i="1"/>
  <c r="F67" i="1" s="1"/>
  <c r="F71" i="1" s="1"/>
  <c r="C52" i="1"/>
  <c r="C67" i="1" s="1"/>
  <c r="C71" i="1" s="1"/>
  <c r="C21" i="9" s="1"/>
  <c r="BU52" i="1"/>
  <c r="BU67" i="1" s="1"/>
  <c r="BU71" i="1" s="1"/>
  <c r="C641" i="1" s="1"/>
  <c r="C81" i="9"/>
  <c r="BG52" i="1"/>
  <c r="BG67" i="1" s="1"/>
  <c r="N52" i="1"/>
  <c r="N67" i="1" s="1"/>
  <c r="N71" i="1" s="1"/>
  <c r="AO52" i="1"/>
  <c r="AO67" i="1" s="1"/>
  <c r="AO71" i="1" s="1"/>
  <c r="F181" i="9" s="1"/>
  <c r="S52" i="1"/>
  <c r="S67" i="1" s="1"/>
  <c r="S71" i="1" s="1"/>
  <c r="BA52" i="1"/>
  <c r="BA67" i="1" s="1"/>
  <c r="BA71" i="1" s="1"/>
  <c r="D245" i="9" s="1"/>
  <c r="G52" i="1"/>
  <c r="G67" i="1" s="1"/>
  <c r="J738" i="1" s="1"/>
  <c r="BN52" i="1"/>
  <c r="BN67" i="1" s="1"/>
  <c r="C305" i="9" s="1"/>
  <c r="BQ52" i="1"/>
  <c r="BQ67" i="1" s="1"/>
  <c r="BQ71" i="1" s="1"/>
  <c r="C623" i="1" s="1"/>
  <c r="BI52" i="1"/>
  <c r="BI67" i="1" s="1"/>
  <c r="E273" i="9" s="1"/>
  <c r="BO52" i="1"/>
  <c r="BO67" i="1" s="1"/>
  <c r="D305" i="9" s="1"/>
  <c r="Y52" i="1"/>
  <c r="Y67" i="1" s="1"/>
  <c r="V52" i="1"/>
  <c r="V67" i="1" s="1"/>
  <c r="V71" i="1" s="1"/>
  <c r="C687" i="1" s="1"/>
  <c r="BJ52" i="1"/>
  <c r="BJ67" i="1" s="1"/>
  <c r="AZ52" i="1"/>
  <c r="AZ67" i="1" s="1"/>
  <c r="AZ71" i="1" s="1"/>
  <c r="C628" i="1" s="1"/>
  <c r="E177" i="9"/>
  <c r="P52" i="1"/>
  <c r="P67" i="1" s="1"/>
  <c r="BR52" i="1"/>
  <c r="BR67" i="1" s="1"/>
  <c r="J801" i="1" s="1"/>
  <c r="AX52" i="1"/>
  <c r="AX67" i="1" s="1"/>
  <c r="AX71" i="1" s="1"/>
  <c r="C543" i="1" s="1"/>
  <c r="T52" i="1"/>
  <c r="T67" i="1" s="1"/>
  <c r="T71" i="1" s="1"/>
  <c r="F85" i="9" s="1"/>
  <c r="BF52" i="1"/>
  <c r="BF67" i="1" s="1"/>
  <c r="I241" i="9" s="1"/>
  <c r="BT52" i="1"/>
  <c r="BT67" i="1" s="1"/>
  <c r="J803" i="1" s="1"/>
  <c r="AD52" i="1"/>
  <c r="AD67" i="1" s="1"/>
  <c r="I113" i="9" s="1"/>
  <c r="AP52" i="1"/>
  <c r="AP67" i="1" s="1"/>
  <c r="AP71" i="1" s="1"/>
  <c r="C535" i="1" s="1"/>
  <c r="G535" i="1" s="1"/>
  <c r="AB52" i="1"/>
  <c r="AB67" i="1" s="1"/>
  <c r="U52" i="1"/>
  <c r="U67" i="1" s="1"/>
  <c r="U71" i="1" s="1"/>
  <c r="G85" i="9" s="1"/>
  <c r="W52" i="1"/>
  <c r="W67" i="1" s="1"/>
  <c r="W71" i="1" s="1"/>
  <c r="C516" i="1" s="1"/>
  <c r="G516" i="1" s="1"/>
  <c r="BC52" i="1"/>
  <c r="BC67" i="1" s="1"/>
  <c r="Z52" i="1"/>
  <c r="Z67" i="1" s="1"/>
  <c r="AG52" i="1"/>
  <c r="AG67" i="1" s="1"/>
  <c r="AG71" i="1" s="1"/>
  <c r="AA52" i="1"/>
  <c r="AA67" i="1" s="1"/>
  <c r="F113" i="9" s="1"/>
  <c r="CB52" i="1"/>
  <c r="CB67" i="1" s="1"/>
  <c r="BD52" i="1"/>
  <c r="BD67" i="1" s="1"/>
  <c r="J787" i="1" s="1"/>
  <c r="H49" i="9"/>
  <c r="H52" i="1"/>
  <c r="H67" i="1" s="1"/>
  <c r="H71" i="1" s="1"/>
  <c r="C673" i="1" s="1"/>
  <c r="AT52" i="1"/>
  <c r="AT67" i="1" s="1"/>
  <c r="AT71" i="1" s="1"/>
  <c r="D213" i="9" s="1"/>
  <c r="AN71" i="1"/>
  <c r="C705" i="1" s="1"/>
  <c r="CA52" i="1"/>
  <c r="CA67" i="1" s="1"/>
  <c r="J810" i="1" s="1"/>
  <c r="I52" i="1"/>
  <c r="I67" i="1" s="1"/>
  <c r="J740" i="1" s="1"/>
  <c r="CC52" i="1"/>
  <c r="CC67" i="1" s="1"/>
  <c r="J812" i="1" s="1"/>
  <c r="AR52" i="1"/>
  <c r="AR67" i="1" s="1"/>
  <c r="J775" i="1" s="1"/>
  <c r="BH52" i="1"/>
  <c r="BH67" i="1" s="1"/>
  <c r="J791" i="1" s="1"/>
  <c r="AL52" i="1"/>
  <c r="AL67" i="1" s="1"/>
  <c r="AL71" i="1" s="1"/>
  <c r="D52" i="1"/>
  <c r="D67" i="1" s="1"/>
  <c r="J735" i="1" s="1"/>
  <c r="BM52" i="1"/>
  <c r="BM67" i="1" s="1"/>
  <c r="I273" i="9" s="1"/>
  <c r="AJ52" i="1"/>
  <c r="AJ67" i="1" s="1"/>
  <c r="AJ71" i="1" s="1"/>
  <c r="H149" i="9" s="1"/>
  <c r="BL52" i="1"/>
  <c r="BL67" i="1" s="1"/>
  <c r="BL71" i="1" s="1"/>
  <c r="C557" i="1" s="1"/>
  <c r="BK52" i="1"/>
  <c r="BK67" i="1" s="1"/>
  <c r="G273" i="9" s="1"/>
  <c r="AH52" i="1"/>
  <c r="AH67" i="1" s="1"/>
  <c r="F145" i="9" s="1"/>
  <c r="BP52" i="1"/>
  <c r="BP67" i="1" s="1"/>
  <c r="J799" i="1" s="1"/>
  <c r="AQ52" i="1"/>
  <c r="AQ67" i="1" s="1"/>
  <c r="J774" i="1" s="1"/>
  <c r="AV52" i="1"/>
  <c r="AV67" i="1" s="1"/>
  <c r="AV71" i="1" s="1"/>
  <c r="C713" i="1" s="1"/>
  <c r="BZ52" i="1"/>
  <c r="BZ67" i="1" s="1"/>
  <c r="BZ71" i="1" s="1"/>
  <c r="C571" i="1" s="1"/>
  <c r="E735" i="1"/>
  <c r="E750" i="1"/>
  <c r="F140" i="9"/>
  <c r="I172" i="9"/>
  <c r="E740" i="1"/>
  <c r="F204" i="9"/>
  <c r="G140" i="9"/>
  <c r="E76" i="9"/>
  <c r="E807" i="1"/>
  <c r="F300" i="9"/>
  <c r="D369" i="9"/>
  <c r="J778" i="1"/>
  <c r="BW71" i="1"/>
  <c r="C568" i="1" s="1"/>
  <c r="J790" i="1"/>
  <c r="C273" i="9"/>
  <c r="BE71" i="1"/>
  <c r="C550" i="1" s="1"/>
  <c r="G550" i="1" s="1"/>
  <c r="E241" i="9"/>
  <c r="E809" i="1"/>
  <c r="E798" i="1"/>
  <c r="D204" i="9"/>
  <c r="D332" i="9"/>
  <c r="C12" i="9"/>
  <c r="K71" i="1"/>
  <c r="D53" i="9" s="1"/>
  <c r="G204" i="9"/>
  <c r="E236" i="9"/>
  <c r="E793" i="1"/>
  <c r="I268" i="9"/>
  <c r="I300" i="9"/>
  <c r="E805" i="1"/>
  <c r="E753" i="1"/>
  <c r="F268" i="9"/>
  <c r="E748" i="1"/>
  <c r="D44" i="9"/>
  <c r="E799" i="1"/>
  <c r="I204" i="9"/>
  <c r="G76" i="9"/>
  <c r="E204" i="9"/>
  <c r="I236" i="9"/>
  <c r="E140" i="9"/>
  <c r="E763" i="1"/>
  <c r="E745" i="1"/>
  <c r="E789" i="1"/>
  <c r="H44" i="9"/>
  <c r="G44" i="9"/>
  <c r="E759" i="1"/>
  <c r="E785" i="1"/>
  <c r="H76" i="9"/>
  <c r="E752" i="1"/>
  <c r="E332" i="9"/>
  <c r="G236" i="9"/>
  <c r="C76" i="9"/>
  <c r="D268" i="9"/>
  <c r="H172" i="9"/>
  <c r="E71" i="1"/>
  <c r="C498" i="1" s="1"/>
  <c r="G498" i="1" s="1"/>
  <c r="CB71" i="1"/>
  <c r="C573" i="1" s="1"/>
  <c r="AM71" i="1"/>
  <c r="D181" i="9" s="1"/>
  <c r="E172" i="9"/>
  <c r="BC71" i="1"/>
  <c r="C633" i="1" s="1"/>
  <c r="E773" i="1"/>
  <c r="AA71" i="1"/>
  <c r="C520" i="1" s="1"/>
  <c r="G520" i="1" s="1"/>
  <c r="E811" i="1"/>
  <c r="E768" i="1"/>
  <c r="E786" i="1"/>
  <c r="E747" i="1"/>
  <c r="G300" i="9"/>
  <c r="H268" i="9"/>
  <c r="E738" i="1"/>
  <c r="E784" i="1"/>
  <c r="E797" i="1"/>
  <c r="E770" i="1"/>
  <c r="F172" i="9"/>
  <c r="E804" i="1"/>
  <c r="E771" i="1"/>
  <c r="E778" i="1"/>
  <c r="CC71" i="1"/>
  <c r="C620" i="1" s="1"/>
  <c r="E756" i="1"/>
  <c r="C44" i="9"/>
  <c r="D364" i="9"/>
  <c r="D108" i="9"/>
  <c r="C300" i="9"/>
  <c r="E760" i="1"/>
  <c r="E781" i="1"/>
  <c r="E767" i="1"/>
  <c r="E108" i="9"/>
  <c r="E746" i="1"/>
  <c r="E736" i="1"/>
  <c r="M71" i="1"/>
  <c r="F53" i="9" s="1"/>
  <c r="BY71" i="1"/>
  <c r="G341" i="9" s="1"/>
  <c r="E764" i="1"/>
  <c r="C236" i="9"/>
  <c r="E741" i="1"/>
  <c r="P71" i="1"/>
  <c r="C509" i="1" s="1"/>
  <c r="G509" i="1" s="1"/>
  <c r="E802" i="1"/>
  <c r="E806" i="1"/>
  <c r="C108" i="9"/>
  <c r="E744" i="1"/>
  <c r="E808" i="1"/>
  <c r="AD71" i="1"/>
  <c r="C523" i="1" s="1"/>
  <c r="G523" i="1" s="1"/>
  <c r="E792" i="1"/>
  <c r="CA71" i="1"/>
  <c r="I341" i="9" s="1"/>
  <c r="E749" i="1"/>
  <c r="E758" i="1"/>
  <c r="E755" i="1"/>
  <c r="E761" i="1"/>
  <c r="BI71" i="1"/>
  <c r="C634" i="1" s="1"/>
  <c r="R71" i="1"/>
  <c r="D85" i="9" s="1"/>
  <c r="E810" i="1"/>
  <c r="E788" i="1"/>
  <c r="E743" i="1"/>
  <c r="H12" i="9"/>
  <c r="C204" i="9"/>
  <c r="H236" i="9"/>
  <c r="AS71" i="1"/>
  <c r="C538" i="1" s="1"/>
  <c r="G538" i="1" s="1"/>
  <c r="F76" i="9"/>
  <c r="E751" i="1"/>
  <c r="C268" i="9"/>
  <c r="BG71" i="1"/>
  <c r="I76" i="9"/>
  <c r="CE62" i="1"/>
  <c r="C428" i="1" s="1"/>
  <c r="CE48" i="1"/>
  <c r="J792" i="1"/>
  <c r="G550" i="11"/>
  <c r="H550" i="11" s="1"/>
  <c r="C574" i="11"/>
  <c r="C620" i="11"/>
  <c r="C546" i="11"/>
  <c r="C630" i="11"/>
  <c r="C694" i="11"/>
  <c r="C522" i="11"/>
  <c r="G522" i="11" s="1"/>
  <c r="E816" i="11"/>
  <c r="C428" i="11"/>
  <c r="CE71" i="11"/>
  <c r="C716" i="11" s="1"/>
  <c r="C621" i="11"/>
  <c r="C561" i="11"/>
  <c r="D615" i="11"/>
  <c r="C705" i="11"/>
  <c r="C533" i="11"/>
  <c r="G533" i="11" s="1"/>
  <c r="C681" i="11"/>
  <c r="C509" i="11"/>
  <c r="G509" i="11" s="1"/>
  <c r="C704" i="11"/>
  <c r="C532" i="11"/>
  <c r="C709" i="11"/>
  <c r="C537" i="11"/>
  <c r="G537" i="11" s="1"/>
  <c r="C622" i="11"/>
  <c r="C573" i="11"/>
  <c r="C680" i="11"/>
  <c r="C508" i="11"/>
  <c r="G508" i="11" s="1"/>
  <c r="C625" i="11"/>
  <c r="C544" i="11"/>
  <c r="C690" i="11"/>
  <c r="C518" i="11"/>
  <c r="G518" i="11" s="1"/>
  <c r="C571" i="11"/>
  <c r="C646" i="11"/>
  <c r="C685" i="11"/>
  <c r="C513" i="11"/>
  <c r="G513" i="11" s="1"/>
  <c r="C548" i="11"/>
  <c r="C633" i="11"/>
  <c r="C566" i="11"/>
  <c r="C641" i="11"/>
  <c r="C523" i="11"/>
  <c r="G523" i="11" s="1"/>
  <c r="C695" i="11"/>
  <c r="C700" i="11"/>
  <c r="C528" i="11"/>
  <c r="G528" i="11" s="1"/>
  <c r="C699" i="11"/>
  <c r="C527" i="11"/>
  <c r="G527" i="11" s="1"/>
  <c r="C687" i="11"/>
  <c r="C515" i="11"/>
  <c r="G515" i="11" s="1"/>
  <c r="C671" i="11"/>
  <c r="C499" i="11"/>
  <c r="G499" i="11" s="1"/>
  <c r="C668" i="11"/>
  <c r="C496" i="11"/>
  <c r="G496" i="11" s="1"/>
  <c r="G514" i="11"/>
  <c r="H514" i="11"/>
  <c r="C618" i="11"/>
  <c r="C552" i="11"/>
  <c r="C501" i="11"/>
  <c r="C673" i="11"/>
  <c r="C565" i="11"/>
  <c r="C640" i="11"/>
  <c r="C710" i="11"/>
  <c r="C538" i="11"/>
  <c r="G538" i="11" s="1"/>
  <c r="H545" i="11"/>
  <c r="G545" i="11"/>
  <c r="C619" i="11"/>
  <c r="C559" i="11"/>
  <c r="C696" i="11"/>
  <c r="C524" i="11"/>
  <c r="G524" i="11" s="1"/>
  <c r="C623" i="11"/>
  <c r="C562" i="11"/>
  <c r="C525" i="11"/>
  <c r="G525" i="11" s="1"/>
  <c r="C697" i="11"/>
  <c r="C433" i="11"/>
  <c r="J816" i="11"/>
  <c r="C682" i="11"/>
  <c r="C510" i="11"/>
  <c r="G510" i="11" s="1"/>
  <c r="C693" i="11"/>
  <c r="C521" i="11"/>
  <c r="C564" i="11"/>
  <c r="C639" i="11"/>
  <c r="C554" i="11"/>
  <c r="C634" i="11"/>
  <c r="C631" i="11"/>
  <c r="C542" i="11"/>
  <c r="C553" i="11"/>
  <c r="C636" i="11"/>
  <c r="C549" i="11"/>
  <c r="C624" i="11"/>
  <c r="J815" i="11"/>
  <c r="F515" i="1"/>
  <c r="H515" i="1"/>
  <c r="F505" i="1"/>
  <c r="H505" i="1"/>
  <c r="B499" i="1"/>
  <c r="F337" i="9"/>
  <c r="J807" i="1"/>
  <c r="B556" i="1"/>
  <c r="B497" i="1"/>
  <c r="B517" i="1"/>
  <c r="E337" i="9"/>
  <c r="B560" i="1"/>
  <c r="B524" i="1"/>
  <c r="H524" i="1" s="1"/>
  <c r="H501" i="1"/>
  <c r="F501" i="1"/>
  <c r="J742" i="1"/>
  <c r="D49" i="9"/>
  <c r="N815" i="1"/>
  <c r="F511" i="1"/>
  <c r="H511" i="1"/>
  <c r="J739" i="1"/>
  <c r="B521" i="1"/>
  <c r="B537" i="1"/>
  <c r="B561" i="1"/>
  <c r="D27" i="7"/>
  <c r="B448" i="1"/>
  <c r="B531" i="1"/>
  <c r="B539" i="1"/>
  <c r="B547" i="1"/>
  <c r="B555" i="1"/>
  <c r="B563" i="1"/>
  <c r="B571" i="1"/>
  <c r="F544" i="1"/>
  <c r="H544" i="1"/>
  <c r="H536" i="1"/>
  <c r="F536" i="1"/>
  <c r="F528" i="1"/>
  <c r="H528" i="1"/>
  <c r="F520" i="1"/>
  <c r="H520" i="1"/>
  <c r="J781" i="1"/>
  <c r="F81" i="9"/>
  <c r="I378" i="9"/>
  <c r="K612" i="1"/>
  <c r="C465" i="1"/>
  <c r="N816" i="1"/>
  <c r="B529" i="1"/>
  <c r="B553" i="1"/>
  <c r="F32" i="6"/>
  <c r="C478" i="1"/>
  <c r="C102" i="8"/>
  <c r="C482" i="1"/>
  <c r="B523" i="1"/>
  <c r="B533" i="1"/>
  <c r="B549" i="1"/>
  <c r="B565" i="1"/>
  <c r="B573" i="1"/>
  <c r="H498" i="1"/>
  <c r="F498" i="1"/>
  <c r="J788" i="1"/>
  <c r="H241" i="9"/>
  <c r="J768" i="1"/>
  <c r="G209" i="9"/>
  <c r="J780" i="1"/>
  <c r="J808" i="1"/>
  <c r="G337" i="9"/>
  <c r="D177" i="9"/>
  <c r="J770" i="1"/>
  <c r="C476" i="1"/>
  <c r="F16" i="6"/>
  <c r="B545" i="1"/>
  <c r="B569" i="1"/>
  <c r="F516" i="1"/>
  <c r="H516" i="1"/>
  <c r="D17" i="9"/>
  <c r="F305" i="9"/>
  <c r="B525" i="1"/>
  <c r="B541" i="1"/>
  <c r="B557" i="1"/>
  <c r="B519" i="1"/>
  <c r="B527" i="1"/>
  <c r="B535" i="1"/>
  <c r="B543" i="1"/>
  <c r="B551" i="1"/>
  <c r="B559" i="1"/>
  <c r="B567" i="1"/>
  <c r="B574" i="1"/>
  <c r="F540" i="1"/>
  <c r="H540" i="1"/>
  <c r="F532" i="1"/>
  <c r="H532" i="1"/>
  <c r="F550" i="1"/>
  <c r="H550" i="1"/>
  <c r="G305" i="9"/>
  <c r="J758" i="1"/>
  <c r="F49" i="9"/>
  <c r="J744" i="1"/>
  <c r="C369" i="9"/>
  <c r="J811" i="1"/>
  <c r="G241" i="9"/>
  <c r="J798" i="1" l="1"/>
  <c r="C648" i="11"/>
  <c r="M716" i="11" s="1"/>
  <c r="Y816" i="11" s="1"/>
  <c r="C715" i="11"/>
  <c r="BR71" i="1"/>
  <c r="C563" i="1" s="1"/>
  <c r="AF71" i="1"/>
  <c r="C697" i="1" s="1"/>
  <c r="I145" i="9"/>
  <c r="J767" i="1"/>
  <c r="I17" i="9"/>
  <c r="O71" i="1"/>
  <c r="C120" i="8"/>
  <c r="D373" i="1"/>
  <c r="AC71" i="1"/>
  <c r="C522" i="1" s="1"/>
  <c r="G522" i="1" s="1"/>
  <c r="D277" i="1"/>
  <c r="B476" i="1"/>
  <c r="C33" i="8"/>
  <c r="J782" i="1"/>
  <c r="E181" i="9"/>
  <c r="C528" i="1"/>
  <c r="G528" i="1" s="1"/>
  <c r="BN71" i="1"/>
  <c r="J797" i="1"/>
  <c r="J805" i="1"/>
  <c r="G149" i="9"/>
  <c r="BH71" i="1"/>
  <c r="C636" i="1" s="1"/>
  <c r="D273" i="9"/>
  <c r="J796" i="1"/>
  <c r="C533" i="1"/>
  <c r="G533" i="1" s="1"/>
  <c r="BT71" i="1"/>
  <c r="C640" i="1" s="1"/>
  <c r="AY71" i="1"/>
  <c r="I213" i="9" s="1"/>
  <c r="BP71" i="1"/>
  <c r="E309" i="9" s="1"/>
  <c r="E305" i="9"/>
  <c r="J763" i="1"/>
  <c r="C53" i="9"/>
  <c r="C503" i="1"/>
  <c r="G503" i="1" s="1"/>
  <c r="C675" i="1"/>
  <c r="E245" i="9"/>
  <c r="C632" i="1"/>
  <c r="C547" i="1"/>
  <c r="D337" i="9"/>
  <c r="AQ71" i="1"/>
  <c r="H181" i="9" s="1"/>
  <c r="H209" i="9"/>
  <c r="J785" i="1"/>
  <c r="I71" i="1"/>
  <c r="C502" i="1" s="1"/>
  <c r="G502" i="1" s="1"/>
  <c r="D71" i="1"/>
  <c r="C497" i="1" s="1"/>
  <c r="G497" i="1" s="1"/>
  <c r="Q71" i="1"/>
  <c r="C510" i="1" s="1"/>
  <c r="G510" i="1" s="1"/>
  <c r="D81" i="9"/>
  <c r="J737" i="1"/>
  <c r="H17" i="9"/>
  <c r="I305" i="9"/>
  <c r="I337" i="9"/>
  <c r="H145" i="9"/>
  <c r="AH71" i="1"/>
  <c r="C527" i="1" s="1"/>
  <c r="G527" i="1" s="1"/>
  <c r="E209" i="9"/>
  <c r="H177" i="9"/>
  <c r="J760" i="1"/>
  <c r="J751" i="1"/>
  <c r="J777" i="1"/>
  <c r="C685" i="1"/>
  <c r="J762" i="1"/>
  <c r="J794" i="1"/>
  <c r="D209" i="9"/>
  <c r="J765" i="1"/>
  <c r="J736" i="1"/>
  <c r="E17" i="9"/>
  <c r="C541" i="1"/>
  <c r="AE71" i="1"/>
  <c r="G71" i="1"/>
  <c r="C672" i="1" s="1"/>
  <c r="H85" i="9"/>
  <c r="G17" i="9"/>
  <c r="BF71" i="1"/>
  <c r="J755" i="1"/>
  <c r="G145" i="9"/>
  <c r="J766" i="1"/>
  <c r="C513" i="1"/>
  <c r="G513" i="1" s="1"/>
  <c r="C512" i="1"/>
  <c r="G512" i="1" s="1"/>
  <c r="C684" i="1"/>
  <c r="E85" i="9"/>
  <c r="G53" i="9"/>
  <c r="C507" i="1"/>
  <c r="G507" i="1" s="1"/>
  <c r="C679" i="1"/>
  <c r="C181" i="9"/>
  <c r="C703" i="1"/>
  <c r="C531" i="1"/>
  <c r="G531" i="1" s="1"/>
  <c r="C698" i="1"/>
  <c r="C526" i="1"/>
  <c r="G526" i="1" s="1"/>
  <c r="E149" i="9"/>
  <c r="BM71" i="1"/>
  <c r="C638" i="1" s="1"/>
  <c r="J743" i="1"/>
  <c r="E49" i="9"/>
  <c r="C515" i="1"/>
  <c r="G515" i="1" s="1"/>
  <c r="C559" i="1"/>
  <c r="J789" i="1"/>
  <c r="C514" i="1"/>
  <c r="G514" i="1" s="1"/>
  <c r="BD71" i="1"/>
  <c r="C549" i="1" s="1"/>
  <c r="E213" i="9"/>
  <c r="AR71" i="1"/>
  <c r="C537" i="1" s="1"/>
  <c r="G537" i="1" s="1"/>
  <c r="H337" i="9"/>
  <c r="J809" i="1"/>
  <c r="F241" i="9"/>
  <c r="J786" i="1"/>
  <c r="J783" i="1"/>
  <c r="C241" i="9"/>
  <c r="J757" i="1"/>
  <c r="E113" i="9"/>
  <c r="J761" i="1"/>
  <c r="F213" i="9"/>
  <c r="C686" i="1"/>
  <c r="BO71" i="1"/>
  <c r="D309" i="9" s="1"/>
  <c r="BK71" i="1"/>
  <c r="G277" i="9" s="1"/>
  <c r="J779" i="1"/>
  <c r="F209" i="9"/>
  <c r="J795" i="1"/>
  <c r="H273" i="9"/>
  <c r="J754" i="1"/>
  <c r="I81" i="9"/>
  <c r="J793" i="1"/>
  <c r="F273" i="9"/>
  <c r="C337" i="9"/>
  <c r="J804" i="1"/>
  <c r="C712" i="1"/>
  <c r="CE52" i="1"/>
  <c r="L71" i="1"/>
  <c r="G81" i="9"/>
  <c r="J752" i="1"/>
  <c r="J753" i="1"/>
  <c r="H81" i="9"/>
  <c r="J784" i="1"/>
  <c r="D241" i="9"/>
  <c r="C17" i="9"/>
  <c r="J734" i="1"/>
  <c r="G113" i="9"/>
  <c r="J759" i="1"/>
  <c r="I49" i="9"/>
  <c r="J747" i="1"/>
  <c r="D113" i="9"/>
  <c r="J756" i="1"/>
  <c r="E81" i="9"/>
  <c r="J750" i="1"/>
  <c r="CE67" i="1"/>
  <c r="J800" i="1"/>
  <c r="C113" i="9"/>
  <c r="AB71" i="1"/>
  <c r="C693" i="1" s="1"/>
  <c r="I177" i="9"/>
  <c r="Y71" i="1"/>
  <c r="J773" i="1"/>
  <c r="G177" i="9"/>
  <c r="F177" i="9"/>
  <c r="J772" i="1"/>
  <c r="BJ71" i="1"/>
  <c r="C177" i="9"/>
  <c r="J769" i="1"/>
  <c r="J745" i="1"/>
  <c r="G49" i="9"/>
  <c r="H305" i="9"/>
  <c r="J802" i="1"/>
  <c r="F17" i="9"/>
  <c r="Z71" i="1"/>
  <c r="E117" i="9" s="1"/>
  <c r="J764" i="1"/>
  <c r="E145" i="9"/>
  <c r="J741" i="1"/>
  <c r="C49" i="9"/>
  <c r="C644" i="1"/>
  <c r="C562" i="1"/>
  <c r="C569" i="1"/>
  <c r="C670" i="1"/>
  <c r="F309" i="9"/>
  <c r="D149" i="9"/>
  <c r="C525" i="1"/>
  <c r="G525" i="1" s="1"/>
  <c r="C616" i="1"/>
  <c r="C711" i="1"/>
  <c r="C699" i="1"/>
  <c r="I21" i="9"/>
  <c r="C674" i="1"/>
  <c r="E341" i="9"/>
  <c r="C622" i="1"/>
  <c r="C532" i="1"/>
  <c r="G532" i="1" s="1"/>
  <c r="C643" i="1"/>
  <c r="C545" i="1"/>
  <c r="G545" i="1" s="1"/>
  <c r="C373" i="9"/>
  <c r="F149" i="9"/>
  <c r="C539" i="1"/>
  <c r="G539" i="1" s="1"/>
  <c r="C245" i="9"/>
  <c r="C642" i="1"/>
  <c r="C517" i="1"/>
  <c r="G517" i="1" s="1"/>
  <c r="E21" i="9"/>
  <c r="H213" i="9"/>
  <c r="C647" i="1"/>
  <c r="C496" i="1"/>
  <c r="G496" i="1" s="1"/>
  <c r="C117" i="9"/>
  <c r="C572" i="1"/>
  <c r="C668" i="1"/>
  <c r="F117" i="9"/>
  <c r="C678" i="1"/>
  <c r="C692" i="1"/>
  <c r="C506" i="1"/>
  <c r="G506" i="1" s="1"/>
  <c r="C567" i="1"/>
  <c r="C566" i="1"/>
  <c r="C213" i="9"/>
  <c r="C565" i="1"/>
  <c r="F21" i="9"/>
  <c r="C671" i="1"/>
  <c r="C499" i="1"/>
  <c r="G499" i="1" s="1"/>
  <c r="H245" i="9"/>
  <c r="C524" i="1"/>
  <c r="G524" i="1" s="1"/>
  <c r="C149" i="9"/>
  <c r="C696" i="1"/>
  <c r="C614" i="1"/>
  <c r="D615" i="1" s="1"/>
  <c r="C542" i="1"/>
  <c r="G213" i="9"/>
  <c r="C558" i="1"/>
  <c r="C707" i="1"/>
  <c r="I309" i="9"/>
  <c r="C637" i="1"/>
  <c r="E277" i="9"/>
  <c r="G181" i="9"/>
  <c r="C554" i="1"/>
  <c r="C504" i="1"/>
  <c r="G504" i="1" s="1"/>
  <c r="C683" i="1"/>
  <c r="C529" i="1"/>
  <c r="G529" i="1" s="1"/>
  <c r="C570" i="1"/>
  <c r="C500" i="1"/>
  <c r="G500" i="1" s="1"/>
  <c r="C676" i="1"/>
  <c r="C704" i="1"/>
  <c r="C645" i="1"/>
  <c r="C534" i="1"/>
  <c r="G534" i="1" s="1"/>
  <c r="C702" i="1"/>
  <c r="H341" i="9"/>
  <c r="I149" i="9"/>
  <c r="C646" i="1"/>
  <c r="C706" i="1"/>
  <c r="C695" i="1"/>
  <c r="C548" i="1"/>
  <c r="I85" i="9"/>
  <c r="F245" i="9"/>
  <c r="H21" i="9"/>
  <c r="D277" i="9"/>
  <c r="C501" i="1"/>
  <c r="G501" i="1" s="1"/>
  <c r="D373" i="9"/>
  <c r="C630" i="1"/>
  <c r="C574" i="1"/>
  <c r="C546" i="1"/>
  <c r="G546" i="1" s="1"/>
  <c r="C553" i="1"/>
  <c r="C688" i="1"/>
  <c r="H277" i="9"/>
  <c r="C511" i="1"/>
  <c r="G511" i="1" s="1"/>
  <c r="C341" i="9"/>
  <c r="C701" i="1"/>
  <c r="C710" i="1"/>
  <c r="I117" i="9"/>
  <c r="E815" i="1"/>
  <c r="C639" i="1"/>
  <c r="H309" i="9"/>
  <c r="C564" i="1"/>
  <c r="C277" i="9"/>
  <c r="C618" i="1"/>
  <c r="C552" i="1"/>
  <c r="C681" i="1"/>
  <c r="I53" i="9"/>
  <c r="I364" i="9"/>
  <c r="E816" i="1"/>
  <c r="F524" i="1"/>
  <c r="G544" i="11"/>
  <c r="H544" i="11" s="1"/>
  <c r="H532" i="11"/>
  <c r="G532" i="11"/>
  <c r="G501" i="11"/>
  <c r="H501" i="11" s="1"/>
  <c r="G546" i="11"/>
  <c r="H546" i="11"/>
  <c r="G521" i="11"/>
  <c r="H521" i="11"/>
  <c r="C441" i="11"/>
  <c r="D712" i="11"/>
  <c r="D704" i="11"/>
  <c r="D696" i="11"/>
  <c r="D688" i="11"/>
  <c r="D709" i="11"/>
  <c r="D701" i="11"/>
  <c r="D693" i="11"/>
  <c r="D706" i="11"/>
  <c r="D698" i="11"/>
  <c r="D690" i="11"/>
  <c r="D711" i="11"/>
  <c r="D703" i="11"/>
  <c r="D695" i="11"/>
  <c r="D687" i="11"/>
  <c r="D705" i="11"/>
  <c r="D689" i="11"/>
  <c r="D677" i="11"/>
  <c r="D669" i="11"/>
  <c r="D627" i="11"/>
  <c r="D702" i="11"/>
  <c r="D686" i="11"/>
  <c r="D682" i="11"/>
  <c r="D674" i="11"/>
  <c r="D716" i="11"/>
  <c r="D699" i="11"/>
  <c r="D679" i="11"/>
  <c r="D671" i="11"/>
  <c r="D625" i="11"/>
  <c r="D713" i="11"/>
  <c r="D697" i="11"/>
  <c r="D684" i="11"/>
  <c r="D681" i="11"/>
  <c r="D673" i="11"/>
  <c r="D668" i="11"/>
  <c r="D628" i="11"/>
  <c r="D617" i="11"/>
  <c r="D710" i="11"/>
  <c r="D678" i="11"/>
  <c r="D646" i="11"/>
  <c r="D621" i="11"/>
  <c r="D707" i="11"/>
  <c r="D675" i="11"/>
  <c r="D644" i="11"/>
  <c r="D642" i="11"/>
  <c r="D640" i="11"/>
  <c r="D638" i="11"/>
  <c r="D636" i="11"/>
  <c r="D634" i="11"/>
  <c r="D632" i="11"/>
  <c r="D630" i="11"/>
  <c r="D616" i="11"/>
  <c r="D700" i="11"/>
  <c r="D685" i="11"/>
  <c r="D676" i="11"/>
  <c r="D694" i="11"/>
  <c r="D670" i="11"/>
  <c r="D647" i="11"/>
  <c r="D626" i="11"/>
  <c r="D619" i="11"/>
  <c r="D643" i="11"/>
  <c r="D639" i="11"/>
  <c r="D635" i="11"/>
  <c r="D631" i="11"/>
  <c r="D618" i="11"/>
  <c r="D692" i="11"/>
  <c r="D645" i="11"/>
  <c r="D629" i="11"/>
  <c r="D680" i="11"/>
  <c r="D622" i="11"/>
  <c r="D683" i="11"/>
  <c r="D708" i="11"/>
  <c r="D620" i="11"/>
  <c r="D672" i="11"/>
  <c r="D691" i="11"/>
  <c r="D637" i="11"/>
  <c r="D624" i="11"/>
  <c r="D641" i="11"/>
  <c r="D623" i="11"/>
  <c r="D633" i="11"/>
  <c r="F499" i="1"/>
  <c r="H499" i="1"/>
  <c r="H517" i="1"/>
  <c r="F517" i="1"/>
  <c r="F497" i="1"/>
  <c r="H497" i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C694" i="1" l="1"/>
  <c r="G309" i="9"/>
  <c r="C626" i="1"/>
  <c r="CE71" i="1"/>
  <c r="I373" i="9" s="1"/>
  <c r="C384" i="1"/>
  <c r="C126" i="8"/>
  <c r="H117" i="9"/>
  <c r="C625" i="1"/>
  <c r="C544" i="1"/>
  <c r="G544" i="1" s="1"/>
  <c r="C35" i="8"/>
  <c r="D292" i="1"/>
  <c r="C508" i="1"/>
  <c r="G508" i="1" s="1"/>
  <c r="C680" i="1"/>
  <c r="H53" i="9"/>
  <c r="C561" i="1"/>
  <c r="G245" i="9"/>
  <c r="C619" i="1"/>
  <c r="C309" i="9"/>
  <c r="G117" i="9"/>
  <c r="C708" i="1"/>
  <c r="C621" i="1"/>
  <c r="C709" i="1"/>
  <c r="C521" i="1"/>
  <c r="G521" i="1" s="1"/>
  <c r="I181" i="9"/>
  <c r="C536" i="1"/>
  <c r="G536" i="1" s="1"/>
  <c r="C624" i="1"/>
  <c r="C85" i="9"/>
  <c r="C682" i="1"/>
  <c r="D21" i="9"/>
  <c r="C669" i="1"/>
  <c r="G21" i="9"/>
  <c r="J815" i="1"/>
  <c r="C556" i="1"/>
  <c r="C627" i="1"/>
  <c r="C691" i="1"/>
  <c r="C519" i="1"/>
  <c r="G519" i="1" s="1"/>
  <c r="C560" i="1"/>
  <c r="C629" i="1"/>
  <c r="I245" i="9"/>
  <c r="C551" i="1"/>
  <c r="C505" i="1"/>
  <c r="G505" i="1" s="1"/>
  <c r="E53" i="9"/>
  <c r="C677" i="1"/>
  <c r="C690" i="1"/>
  <c r="C518" i="1"/>
  <c r="G518" i="1" s="1"/>
  <c r="D117" i="9"/>
  <c r="C617" i="1"/>
  <c r="C555" i="1"/>
  <c r="F277" i="9"/>
  <c r="I277" i="9"/>
  <c r="C635" i="1"/>
  <c r="J816" i="1"/>
  <c r="I369" i="9"/>
  <c r="C433" i="1"/>
  <c r="C441" i="1" s="1"/>
  <c r="C716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4" i="1"/>
  <c r="D627" i="1"/>
  <c r="D678" i="1"/>
  <c r="D632" i="1"/>
  <c r="D617" i="1"/>
  <c r="D697" i="1"/>
  <c r="D685" i="1"/>
  <c r="D690" i="1"/>
  <c r="D707" i="1"/>
  <c r="D637" i="1"/>
  <c r="D694" i="1"/>
  <c r="D647" i="1"/>
  <c r="D635" i="1"/>
  <c r="D671" i="1"/>
  <c r="D638" i="1"/>
  <c r="D703" i="1"/>
  <c r="D670" i="1"/>
  <c r="D621" i="1"/>
  <c r="D712" i="1"/>
  <c r="D672" i="1"/>
  <c r="D626" i="1"/>
  <c r="D641" i="1"/>
  <c r="D633" i="1"/>
  <c r="D646" i="1"/>
  <c r="D708" i="1"/>
  <c r="D688" i="1"/>
  <c r="D679" i="1"/>
  <c r="D693" i="1"/>
  <c r="D618" i="1"/>
  <c r="D629" i="1"/>
  <c r="D669" i="1"/>
  <c r="D677" i="1"/>
  <c r="D689" i="1"/>
  <c r="D687" i="1"/>
  <c r="D692" i="1"/>
  <c r="D622" i="1"/>
  <c r="D700" i="1"/>
  <c r="D623" i="1"/>
  <c r="D686" i="1"/>
  <c r="D699" i="1"/>
  <c r="D675" i="1"/>
  <c r="D630" i="1"/>
  <c r="D682" i="1"/>
  <c r="D673" i="1"/>
  <c r="D701" i="1"/>
  <c r="D684" i="1"/>
  <c r="D642" i="1"/>
  <c r="D674" i="1"/>
  <c r="D716" i="1"/>
  <c r="D709" i="1"/>
  <c r="D636" i="1"/>
  <c r="D702" i="1"/>
  <c r="D713" i="1"/>
  <c r="D698" i="1"/>
  <c r="D616" i="1"/>
  <c r="D620" i="1"/>
  <c r="D691" i="1"/>
  <c r="D640" i="1"/>
  <c r="D696" i="1"/>
  <c r="E612" i="11"/>
  <c r="D715" i="11"/>
  <c r="E623" i="1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50" i="8" l="1"/>
  <c r="D341" i="1"/>
  <c r="C481" i="1" s="1"/>
  <c r="BW730" i="1"/>
  <c r="C135" i="8"/>
  <c r="J817" i="1"/>
  <c r="B433" i="1"/>
  <c r="D390" i="1"/>
  <c r="E623" i="1"/>
  <c r="E716" i="1" s="1"/>
  <c r="C715" i="1"/>
  <c r="C648" i="1"/>
  <c r="M716" i="1" s="1"/>
  <c r="Y816" i="1" s="1"/>
  <c r="E612" i="1"/>
  <c r="D715" i="1"/>
  <c r="E709" i="11"/>
  <c r="E701" i="11"/>
  <c r="E693" i="11"/>
  <c r="E706" i="11"/>
  <c r="E698" i="11"/>
  <c r="E690" i="11"/>
  <c r="E711" i="11"/>
  <c r="E703" i="11"/>
  <c r="E695" i="11"/>
  <c r="E708" i="11"/>
  <c r="E700" i="11"/>
  <c r="E692" i="11"/>
  <c r="E684" i="11"/>
  <c r="E702" i="11"/>
  <c r="E686" i="11"/>
  <c r="E682" i="11"/>
  <c r="E674" i="11"/>
  <c r="E716" i="11"/>
  <c r="E699" i="11"/>
  <c r="E679" i="11"/>
  <c r="E671" i="11"/>
  <c r="E625" i="11"/>
  <c r="E712" i="11"/>
  <c r="E696" i="11"/>
  <c r="E685" i="11"/>
  <c r="E676" i="11"/>
  <c r="E668" i="11"/>
  <c r="E628" i="11"/>
  <c r="E710" i="11"/>
  <c r="E694" i="11"/>
  <c r="E678" i="11"/>
  <c r="E670" i="11"/>
  <c r="E647" i="11"/>
  <c r="E646" i="11"/>
  <c r="E645" i="11"/>
  <c r="E629" i="11"/>
  <c r="E626" i="11"/>
  <c r="E713" i="11"/>
  <c r="E681" i="11"/>
  <c r="E707" i="11"/>
  <c r="E675" i="11"/>
  <c r="E644" i="11"/>
  <c r="E642" i="11"/>
  <c r="E640" i="11"/>
  <c r="E638" i="11"/>
  <c r="E636" i="11"/>
  <c r="E634" i="11"/>
  <c r="E632" i="11"/>
  <c r="E630" i="11"/>
  <c r="E704" i="11"/>
  <c r="E672" i="11"/>
  <c r="E624" i="11"/>
  <c r="E697" i="11"/>
  <c r="E673" i="11"/>
  <c r="E643" i="11"/>
  <c r="E639" i="11"/>
  <c r="E635" i="11"/>
  <c r="E631" i="11"/>
  <c r="E705" i="11"/>
  <c r="E688" i="11"/>
  <c r="E687" i="11"/>
  <c r="E691" i="11"/>
  <c r="E683" i="11"/>
  <c r="E641" i="11"/>
  <c r="E637" i="11"/>
  <c r="E633" i="11"/>
  <c r="E689" i="11"/>
  <c r="E677" i="11"/>
  <c r="E627" i="11"/>
  <c r="E669" i="11"/>
  <c r="E680" i="11"/>
  <c r="B441" i="1" l="1"/>
  <c r="C141" i="8"/>
  <c r="D391" i="1"/>
  <c r="E624" i="1"/>
  <c r="F624" i="1" s="1"/>
  <c r="E629" i="1"/>
  <c r="E671" i="1"/>
  <c r="E673" i="1"/>
  <c r="E693" i="1"/>
  <c r="E644" i="1"/>
  <c r="E674" i="1"/>
  <c r="E626" i="1"/>
  <c r="E709" i="1"/>
  <c r="E700" i="1"/>
  <c r="E682" i="1"/>
  <c r="E677" i="1"/>
  <c r="E685" i="1"/>
  <c r="E637" i="1"/>
  <c r="E669" i="1"/>
  <c r="E627" i="1"/>
  <c r="E684" i="1"/>
  <c r="E679" i="1"/>
  <c r="E690" i="1"/>
  <c r="E683" i="1"/>
  <c r="E692" i="1"/>
  <c r="E713" i="1"/>
  <c r="E636" i="1"/>
  <c r="E712" i="1"/>
  <c r="E631" i="1"/>
  <c r="E699" i="1"/>
  <c r="E639" i="1"/>
  <c r="E705" i="1"/>
  <c r="E642" i="1"/>
  <c r="E635" i="1"/>
  <c r="E686" i="1"/>
  <c r="E689" i="1"/>
  <c r="E645" i="1"/>
  <c r="E701" i="1"/>
  <c r="E710" i="1"/>
  <c r="E634" i="1"/>
  <c r="E708" i="1"/>
  <c r="E641" i="1"/>
  <c r="E643" i="1"/>
  <c r="E672" i="1"/>
  <c r="E675" i="1"/>
  <c r="E691" i="1"/>
  <c r="E704" i="1"/>
  <c r="E698" i="1"/>
  <c r="E697" i="1"/>
  <c r="E646" i="1"/>
  <c r="E687" i="1"/>
  <c r="E680" i="1"/>
  <c r="E696" i="1"/>
  <c r="E695" i="1"/>
  <c r="E702" i="1"/>
  <c r="E694" i="1"/>
  <c r="E668" i="1"/>
  <c r="E630" i="1"/>
  <c r="E703" i="1"/>
  <c r="E670" i="1"/>
  <c r="E638" i="1"/>
  <c r="E707" i="1"/>
  <c r="E706" i="1"/>
  <c r="E711" i="1"/>
  <c r="E678" i="1"/>
  <c r="E688" i="1"/>
  <c r="E632" i="1"/>
  <c r="E640" i="1"/>
  <c r="E676" i="1"/>
  <c r="E681" i="1"/>
  <c r="E628" i="1"/>
  <c r="E647" i="1"/>
  <c r="E633" i="1"/>
  <c r="E625" i="1"/>
  <c r="E715" i="11"/>
  <c r="F624" i="11"/>
  <c r="D393" i="1" l="1"/>
  <c r="C142" i="8"/>
  <c r="E715" i="1"/>
  <c r="F633" i="1"/>
  <c r="F681" i="1"/>
  <c r="F626" i="1"/>
  <c r="F686" i="1"/>
  <c r="F672" i="1"/>
  <c r="F683" i="1"/>
  <c r="F690" i="1"/>
  <c r="F627" i="1"/>
  <c r="F674" i="1"/>
  <c r="F676" i="1"/>
  <c r="F695" i="1"/>
  <c r="F704" i="1"/>
  <c r="F701" i="1"/>
  <c r="F625" i="1"/>
  <c r="G625" i="1" s="1"/>
  <c r="F668" i="1"/>
  <c r="F700" i="1"/>
  <c r="F685" i="1"/>
  <c r="F694" i="1"/>
  <c r="F711" i="1"/>
  <c r="F679" i="1"/>
  <c r="F634" i="1"/>
  <c r="F692" i="1"/>
  <c r="F708" i="1"/>
  <c r="F696" i="1"/>
  <c r="F689" i="1"/>
  <c r="F640" i="1"/>
  <c r="F691" i="1"/>
  <c r="F642" i="1"/>
  <c r="F673" i="1"/>
  <c r="F635" i="1"/>
  <c r="F646" i="1"/>
  <c r="F712" i="1"/>
  <c r="F680" i="1"/>
  <c r="F632" i="1"/>
  <c r="F688" i="1"/>
  <c r="F631" i="1"/>
  <c r="F716" i="1"/>
  <c r="F682" i="1"/>
  <c r="F693" i="1"/>
  <c r="F707" i="1"/>
  <c r="F641" i="1"/>
  <c r="F670" i="1"/>
  <c r="F630" i="1"/>
  <c r="F637" i="1"/>
  <c r="F669" i="1"/>
  <c r="F636" i="1"/>
  <c r="F697" i="1"/>
  <c r="F639" i="1"/>
  <c r="F703" i="1"/>
  <c r="F671" i="1"/>
  <c r="F678" i="1"/>
  <c r="F677" i="1"/>
  <c r="F709" i="1"/>
  <c r="F702" i="1"/>
  <c r="F698" i="1"/>
  <c r="F710" i="1"/>
  <c r="F643" i="1"/>
  <c r="F705" i="1"/>
  <c r="F713" i="1"/>
  <c r="F684" i="1"/>
  <c r="F687" i="1"/>
  <c r="F644" i="1"/>
  <c r="F647" i="1"/>
  <c r="F628" i="1"/>
  <c r="F638" i="1"/>
  <c r="F699" i="1"/>
  <c r="F706" i="1"/>
  <c r="F645" i="1"/>
  <c r="F675" i="1"/>
  <c r="F629" i="1"/>
  <c r="F706" i="11"/>
  <c r="F698" i="11"/>
  <c r="F690" i="11"/>
  <c r="F711" i="11"/>
  <c r="F703" i="11"/>
  <c r="F695" i="11"/>
  <c r="F708" i="11"/>
  <c r="F700" i="11"/>
  <c r="F692" i="11"/>
  <c r="F713" i="11"/>
  <c r="F705" i="11"/>
  <c r="F697" i="11"/>
  <c r="F689" i="11"/>
  <c r="F716" i="11"/>
  <c r="F699" i="11"/>
  <c r="F679" i="11"/>
  <c r="F671" i="11"/>
  <c r="F625" i="11"/>
  <c r="F712" i="11"/>
  <c r="F696" i="11"/>
  <c r="F685" i="11"/>
  <c r="F676" i="11"/>
  <c r="F668" i="11"/>
  <c r="F628" i="11"/>
  <c r="F709" i="11"/>
  <c r="F693" i="11"/>
  <c r="F681" i="11"/>
  <c r="F673" i="11"/>
  <c r="F707" i="11"/>
  <c r="F691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710" i="11"/>
  <c r="F684" i="11"/>
  <c r="F678" i="11"/>
  <c r="F646" i="11"/>
  <c r="F704" i="11"/>
  <c r="F672" i="11"/>
  <c r="F701" i="11"/>
  <c r="F687" i="11"/>
  <c r="F669" i="11"/>
  <c r="F627" i="11"/>
  <c r="F694" i="11"/>
  <c r="F670" i="11"/>
  <c r="F647" i="11"/>
  <c r="F645" i="11"/>
  <c r="F629" i="11"/>
  <c r="F626" i="11"/>
  <c r="F688" i="11"/>
  <c r="F680" i="11"/>
  <c r="F674" i="11"/>
  <c r="F702" i="11"/>
  <c r="F686" i="11"/>
  <c r="F677" i="11"/>
  <c r="F682" i="11"/>
  <c r="C146" i="8" l="1"/>
  <c r="D396" i="1"/>
  <c r="C151" i="8" s="1"/>
  <c r="G637" i="1"/>
  <c r="G696" i="1"/>
  <c r="G710" i="1"/>
  <c r="G677" i="1"/>
  <c r="G694" i="1"/>
  <c r="G642" i="1"/>
  <c r="G703" i="1"/>
  <c r="G638" i="1"/>
  <c r="G671" i="1"/>
  <c r="G678" i="1"/>
  <c r="G629" i="1"/>
  <c r="G646" i="1"/>
  <c r="G707" i="1"/>
  <c r="G672" i="1"/>
  <c r="G691" i="1"/>
  <c r="G701" i="1"/>
  <c r="G702" i="1"/>
  <c r="G693" i="1"/>
  <c r="G685" i="1"/>
  <c r="G712" i="1"/>
  <c r="G636" i="1"/>
  <c r="G676" i="1"/>
  <c r="G675" i="1"/>
  <c r="G683" i="1"/>
  <c r="G627" i="1"/>
  <c r="G669" i="1"/>
  <c r="G692" i="1"/>
  <c r="G716" i="1"/>
  <c r="G630" i="1"/>
  <c r="G634" i="1"/>
  <c r="G709" i="1"/>
  <c r="G713" i="1"/>
  <c r="G679" i="1"/>
  <c r="G668" i="1"/>
  <c r="G645" i="1"/>
  <c r="G633" i="1"/>
  <c r="G688" i="1"/>
  <c r="G706" i="1"/>
  <c r="G639" i="1"/>
  <c r="G708" i="1"/>
  <c r="G680" i="1"/>
  <c r="G643" i="1"/>
  <c r="G640" i="1"/>
  <c r="G704" i="1"/>
  <c r="G674" i="1"/>
  <c r="G632" i="1"/>
  <c r="G626" i="1"/>
  <c r="G697" i="1"/>
  <c r="G711" i="1"/>
  <c r="G687" i="1"/>
  <c r="G670" i="1"/>
  <c r="G684" i="1"/>
  <c r="G635" i="1"/>
  <c r="G695" i="1"/>
  <c r="G705" i="1"/>
  <c r="G682" i="1"/>
  <c r="G681" i="1"/>
  <c r="G631" i="1"/>
  <c r="G644" i="1"/>
  <c r="G628" i="1"/>
  <c r="G641" i="1"/>
  <c r="G700" i="1"/>
  <c r="G686" i="1"/>
  <c r="G690" i="1"/>
  <c r="G698" i="1"/>
  <c r="G699" i="1"/>
  <c r="G673" i="1"/>
  <c r="G647" i="1"/>
  <c r="G689" i="1"/>
  <c r="F715" i="1"/>
  <c r="F715" i="11"/>
  <c r="G625" i="11"/>
  <c r="H628" i="1" l="1"/>
  <c r="G715" i="1"/>
  <c r="H675" i="1"/>
  <c r="H637" i="1"/>
  <c r="H641" i="1"/>
  <c r="H640" i="1"/>
  <c r="H643" i="1"/>
  <c r="H645" i="1"/>
  <c r="H681" i="1"/>
  <c r="H642" i="1"/>
  <c r="H647" i="1"/>
  <c r="H716" i="1"/>
  <c r="H671" i="1"/>
  <c r="H699" i="1"/>
  <c r="H686" i="1"/>
  <c r="H693" i="1"/>
  <c r="H672" i="1"/>
  <c r="H696" i="1"/>
  <c r="H682" i="1"/>
  <c r="H639" i="1"/>
  <c r="H679" i="1"/>
  <c r="H701" i="1"/>
  <c r="H669" i="1"/>
  <c r="H677" i="1"/>
  <c r="H697" i="1"/>
  <c r="H705" i="1"/>
  <c r="H633" i="1"/>
  <c r="H638" i="1"/>
  <c r="H688" i="1"/>
  <c r="H676" i="1"/>
  <c r="H670" i="1"/>
  <c r="H636" i="1"/>
  <c r="H632" i="1"/>
  <c r="H694" i="1"/>
  <c r="H644" i="1"/>
  <c r="H703" i="1"/>
  <c r="H702" i="1"/>
  <c r="H646" i="1"/>
  <c r="H629" i="1"/>
  <c r="I629" i="1" s="1"/>
  <c r="H698" i="1"/>
  <c r="H630" i="1"/>
  <c r="H687" i="1"/>
  <c r="H678" i="1"/>
  <c r="H683" i="1"/>
  <c r="H668" i="1"/>
  <c r="H711" i="1"/>
  <c r="H685" i="1"/>
  <c r="H704" i="1"/>
  <c r="H689" i="1"/>
  <c r="H712" i="1"/>
  <c r="H674" i="1"/>
  <c r="H692" i="1"/>
  <c r="H707" i="1"/>
  <c r="H680" i="1"/>
  <c r="H706" i="1"/>
  <c r="H713" i="1"/>
  <c r="H708" i="1"/>
  <c r="H673" i="1"/>
  <c r="H695" i="1"/>
  <c r="H690" i="1"/>
  <c r="H691" i="1"/>
  <c r="H709" i="1"/>
  <c r="H631" i="1"/>
  <c r="H635" i="1"/>
  <c r="H684" i="1"/>
  <c r="H634" i="1"/>
  <c r="H710" i="1"/>
  <c r="H700" i="1"/>
  <c r="G711" i="11"/>
  <c r="G703" i="11"/>
  <c r="G695" i="11"/>
  <c r="G708" i="11"/>
  <c r="G700" i="11"/>
  <c r="G692" i="11"/>
  <c r="G713" i="11"/>
  <c r="G705" i="11"/>
  <c r="G697" i="11"/>
  <c r="G689" i="11"/>
  <c r="G710" i="11"/>
  <c r="G702" i="11"/>
  <c r="G694" i="11"/>
  <c r="G686" i="11"/>
  <c r="G712" i="11"/>
  <c r="G696" i="11"/>
  <c r="G685" i="11"/>
  <c r="G676" i="11"/>
  <c r="G668" i="11"/>
  <c r="G628" i="11"/>
  <c r="G709" i="11"/>
  <c r="G693" i="11"/>
  <c r="G681" i="11"/>
  <c r="G673" i="11"/>
  <c r="G706" i="11"/>
  <c r="G690" i="11"/>
  <c r="G684" i="11"/>
  <c r="G678" i="11"/>
  <c r="G670" i="11"/>
  <c r="G647" i="11"/>
  <c r="G646" i="11"/>
  <c r="G645" i="11"/>
  <c r="G629" i="11"/>
  <c r="G626" i="11"/>
  <c r="G704" i="11"/>
  <c r="G680" i="11"/>
  <c r="G672" i="11"/>
  <c r="G707" i="11"/>
  <c r="G675" i="11"/>
  <c r="G644" i="11"/>
  <c r="G642" i="11"/>
  <c r="G640" i="11"/>
  <c r="G638" i="11"/>
  <c r="G636" i="11"/>
  <c r="G634" i="11"/>
  <c r="G632" i="11"/>
  <c r="G630" i="11"/>
  <c r="G701" i="11"/>
  <c r="G687" i="11"/>
  <c r="G669" i="11"/>
  <c r="G627" i="11"/>
  <c r="G698" i="11"/>
  <c r="G682" i="11"/>
  <c r="G691" i="11"/>
  <c r="G683" i="11"/>
  <c r="G643" i="11"/>
  <c r="G641" i="11"/>
  <c r="G639" i="11"/>
  <c r="G637" i="11"/>
  <c r="G635" i="11"/>
  <c r="G633" i="11"/>
  <c r="G631" i="11"/>
  <c r="G688" i="11"/>
  <c r="G699" i="11"/>
  <c r="G716" i="11"/>
  <c r="G677" i="11"/>
  <c r="G679" i="11"/>
  <c r="G671" i="11"/>
  <c r="G674" i="11"/>
  <c r="I704" i="1" l="1"/>
  <c r="I689" i="1"/>
  <c r="I683" i="1"/>
  <c r="I645" i="1"/>
  <c r="I631" i="1"/>
  <c r="I632" i="1"/>
  <c r="I700" i="1"/>
  <c r="I633" i="1"/>
  <c r="I688" i="1"/>
  <c r="I682" i="1"/>
  <c r="I705" i="1"/>
  <c r="I677" i="1"/>
  <c r="I635" i="1"/>
  <c r="I671" i="1"/>
  <c r="I707" i="1"/>
  <c r="I685" i="1"/>
  <c r="I702" i="1"/>
  <c r="I672" i="1"/>
  <c r="I678" i="1"/>
  <c r="I699" i="1"/>
  <c r="I703" i="1"/>
  <c r="I706" i="1"/>
  <c r="I644" i="1"/>
  <c r="I710" i="1"/>
  <c r="I713" i="1"/>
  <c r="I697" i="1"/>
  <c r="I643" i="1"/>
  <c r="I642" i="1"/>
  <c r="I686" i="1"/>
  <c r="I693" i="1"/>
  <c r="I676" i="1"/>
  <c r="I695" i="1"/>
  <c r="I692" i="1"/>
  <c r="I681" i="1"/>
  <c r="I708" i="1"/>
  <c r="I680" i="1"/>
  <c r="I639" i="1"/>
  <c r="I637" i="1"/>
  <c r="I673" i="1"/>
  <c r="I716" i="1"/>
  <c r="I675" i="1"/>
  <c r="I690" i="1"/>
  <c r="I646" i="1"/>
  <c r="I679" i="1"/>
  <c r="I712" i="1"/>
  <c r="I669" i="1"/>
  <c r="I684" i="1"/>
  <c r="I698" i="1"/>
  <c r="I696" i="1"/>
  <c r="I670" i="1"/>
  <c r="I636" i="1"/>
  <c r="I634" i="1"/>
  <c r="I701" i="1"/>
  <c r="I694" i="1"/>
  <c r="I641" i="1"/>
  <c r="I638" i="1"/>
  <c r="I640" i="1"/>
  <c r="I630" i="1"/>
  <c r="I674" i="1"/>
  <c r="I711" i="1"/>
  <c r="I691" i="1"/>
  <c r="I647" i="1"/>
  <c r="I687" i="1"/>
  <c r="I668" i="1"/>
  <c r="I709" i="1"/>
  <c r="J630" i="1"/>
  <c r="H715" i="1"/>
  <c r="H628" i="11"/>
  <c r="G715" i="11"/>
  <c r="J675" i="1" l="1"/>
  <c r="J695" i="1"/>
  <c r="J631" i="1"/>
  <c r="J636" i="1"/>
  <c r="J632" i="1"/>
  <c r="J686" i="1"/>
  <c r="J635" i="1"/>
  <c r="J689" i="1"/>
  <c r="J691" i="1"/>
  <c r="J704" i="1"/>
  <c r="J699" i="1"/>
  <c r="J641" i="1"/>
  <c r="J670" i="1"/>
  <c r="J678" i="1"/>
  <c r="J698" i="1"/>
  <c r="J676" i="1"/>
  <c r="J684" i="1"/>
  <c r="J638" i="1"/>
  <c r="J674" i="1"/>
  <c r="J643" i="1"/>
  <c r="J716" i="1"/>
  <c r="J672" i="1"/>
  <c r="J693" i="1"/>
  <c r="J680" i="1"/>
  <c r="J706" i="1"/>
  <c r="J646" i="1"/>
  <c r="J703" i="1"/>
  <c r="J677" i="1"/>
  <c r="J645" i="1"/>
  <c r="J712" i="1"/>
  <c r="J707" i="1"/>
  <c r="J710" i="1"/>
  <c r="J671" i="1"/>
  <c r="J697" i="1"/>
  <c r="J642" i="1"/>
  <c r="J692" i="1"/>
  <c r="J702" i="1"/>
  <c r="J669" i="1"/>
  <c r="J708" i="1"/>
  <c r="J637" i="1"/>
  <c r="J687" i="1"/>
  <c r="J709" i="1"/>
  <c r="J647" i="1"/>
  <c r="J700" i="1"/>
  <c r="J711" i="1"/>
  <c r="J634" i="1"/>
  <c r="J673" i="1"/>
  <c r="J679" i="1"/>
  <c r="J681" i="1"/>
  <c r="J713" i="1"/>
  <c r="J705" i="1"/>
  <c r="J694" i="1"/>
  <c r="J683" i="1"/>
  <c r="J701" i="1"/>
  <c r="J696" i="1"/>
  <c r="J633" i="1"/>
  <c r="J685" i="1"/>
  <c r="J688" i="1"/>
  <c r="J640" i="1"/>
  <c r="J690" i="1"/>
  <c r="J639" i="1"/>
  <c r="J682" i="1"/>
  <c r="J644" i="1"/>
  <c r="J668" i="1"/>
  <c r="I715" i="1"/>
  <c r="H708" i="11"/>
  <c r="H700" i="11"/>
  <c r="H692" i="11"/>
  <c r="H713" i="11"/>
  <c r="H705" i="11"/>
  <c r="H697" i="11"/>
  <c r="H689" i="11"/>
  <c r="H710" i="11"/>
  <c r="H702" i="11"/>
  <c r="H694" i="11"/>
  <c r="H716" i="11"/>
  <c r="H707" i="11"/>
  <c r="H699" i="11"/>
  <c r="H691" i="11"/>
  <c r="H683" i="11"/>
  <c r="H709" i="11"/>
  <c r="H693" i="11"/>
  <c r="H681" i="11"/>
  <c r="H673" i="11"/>
  <c r="H706" i="11"/>
  <c r="H690" i="11"/>
  <c r="H684" i="11"/>
  <c r="H678" i="11"/>
  <c r="H670" i="11"/>
  <c r="H647" i="11"/>
  <c r="H646" i="11"/>
  <c r="H645" i="11"/>
  <c r="H629" i="11"/>
  <c r="H703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701" i="11"/>
  <c r="H688" i="11"/>
  <c r="H687" i="11"/>
  <c r="H677" i="11"/>
  <c r="H669" i="11"/>
  <c r="H704" i="11"/>
  <c r="H672" i="11"/>
  <c r="H698" i="11"/>
  <c r="H682" i="11"/>
  <c r="H695" i="11"/>
  <c r="H679" i="11"/>
  <c r="H680" i="11"/>
  <c r="H711" i="11"/>
  <c r="H674" i="11"/>
  <c r="H668" i="11"/>
  <c r="H686" i="11"/>
  <c r="H685" i="11"/>
  <c r="H671" i="11"/>
  <c r="H712" i="11"/>
  <c r="H696" i="11"/>
  <c r="H676" i="11"/>
  <c r="L647" i="1" l="1"/>
  <c r="J715" i="1"/>
  <c r="K644" i="1"/>
  <c r="L710" i="1"/>
  <c r="L691" i="1"/>
  <c r="L680" i="1"/>
  <c r="L696" i="1"/>
  <c r="L692" i="1"/>
  <c r="L707" i="1"/>
  <c r="L671" i="1"/>
  <c r="L711" i="1"/>
  <c r="L676" i="1"/>
  <c r="L698" i="1"/>
  <c r="L686" i="1"/>
  <c r="L716" i="1"/>
  <c r="L699" i="1"/>
  <c r="L713" i="1"/>
  <c r="L668" i="1"/>
  <c r="L702" i="1"/>
  <c r="L700" i="1"/>
  <c r="L705" i="1"/>
  <c r="L708" i="1"/>
  <c r="L712" i="1"/>
  <c r="L703" i="1"/>
  <c r="L709" i="1"/>
  <c r="L688" i="1"/>
  <c r="L695" i="1"/>
  <c r="L675" i="1"/>
  <c r="L684" i="1"/>
  <c r="L683" i="1"/>
  <c r="L706" i="1"/>
  <c r="L685" i="1"/>
  <c r="L677" i="1"/>
  <c r="L694" i="1"/>
  <c r="L690" i="1"/>
  <c r="L674" i="1"/>
  <c r="L689" i="1"/>
  <c r="L704" i="1"/>
  <c r="L669" i="1"/>
  <c r="L672" i="1"/>
  <c r="L701" i="1"/>
  <c r="L697" i="1"/>
  <c r="L682" i="1"/>
  <c r="L687" i="1"/>
  <c r="L679" i="1"/>
  <c r="L678" i="1"/>
  <c r="L670" i="1"/>
  <c r="L673" i="1"/>
  <c r="L681" i="1"/>
  <c r="L693" i="1"/>
  <c r="H715" i="11"/>
  <c r="I629" i="11"/>
  <c r="L715" i="1" l="1"/>
  <c r="K694" i="1"/>
  <c r="M694" i="1" s="1"/>
  <c r="K687" i="1"/>
  <c r="M687" i="1" s="1"/>
  <c r="K695" i="1"/>
  <c r="M695" i="1" s="1"/>
  <c r="K671" i="1"/>
  <c r="M671" i="1" s="1"/>
  <c r="K678" i="1"/>
  <c r="M678" i="1" s="1"/>
  <c r="Y744" i="1" s="1"/>
  <c r="K681" i="1"/>
  <c r="M681" i="1" s="1"/>
  <c r="K693" i="1"/>
  <c r="M693" i="1" s="1"/>
  <c r="K712" i="1"/>
  <c r="M712" i="1" s="1"/>
  <c r="E215" i="9" s="1"/>
  <c r="K682" i="1"/>
  <c r="M682" i="1" s="1"/>
  <c r="K674" i="1"/>
  <c r="M674" i="1" s="1"/>
  <c r="K677" i="1"/>
  <c r="M677" i="1" s="1"/>
  <c r="E55" i="9" s="1"/>
  <c r="K684" i="1"/>
  <c r="M684" i="1" s="1"/>
  <c r="K669" i="1"/>
  <c r="M669" i="1" s="1"/>
  <c r="K707" i="1"/>
  <c r="M707" i="1" s="1"/>
  <c r="K688" i="1"/>
  <c r="M688" i="1" s="1"/>
  <c r="K686" i="1"/>
  <c r="M686" i="1" s="1"/>
  <c r="K697" i="1"/>
  <c r="M697" i="1" s="1"/>
  <c r="Y763" i="1" s="1"/>
  <c r="K709" i="1"/>
  <c r="M709" i="1" s="1"/>
  <c r="Y775" i="1" s="1"/>
  <c r="K696" i="1"/>
  <c r="M696" i="1" s="1"/>
  <c r="K713" i="1"/>
  <c r="M713" i="1" s="1"/>
  <c r="K701" i="1"/>
  <c r="M701" i="1" s="1"/>
  <c r="K699" i="1"/>
  <c r="M699" i="1" s="1"/>
  <c r="K703" i="1"/>
  <c r="M703" i="1" s="1"/>
  <c r="K710" i="1"/>
  <c r="M710" i="1" s="1"/>
  <c r="K705" i="1"/>
  <c r="M705" i="1" s="1"/>
  <c r="K673" i="1"/>
  <c r="M673" i="1" s="1"/>
  <c r="K689" i="1"/>
  <c r="M689" i="1" s="1"/>
  <c r="K702" i="1"/>
  <c r="M702" i="1" s="1"/>
  <c r="K691" i="1"/>
  <c r="M691" i="1" s="1"/>
  <c r="K708" i="1"/>
  <c r="M708" i="1" s="1"/>
  <c r="K675" i="1"/>
  <c r="M675" i="1" s="1"/>
  <c r="K690" i="1"/>
  <c r="M690" i="1" s="1"/>
  <c r="K679" i="1"/>
  <c r="M679" i="1" s="1"/>
  <c r="K711" i="1"/>
  <c r="M711" i="1" s="1"/>
  <c r="K716" i="1"/>
  <c r="K704" i="1"/>
  <c r="M704" i="1" s="1"/>
  <c r="K706" i="1"/>
  <c r="M706" i="1" s="1"/>
  <c r="K676" i="1"/>
  <c r="M676" i="1" s="1"/>
  <c r="K672" i="1"/>
  <c r="M672" i="1" s="1"/>
  <c r="K700" i="1"/>
  <c r="M700" i="1" s="1"/>
  <c r="K698" i="1"/>
  <c r="M698" i="1" s="1"/>
  <c r="K692" i="1"/>
  <c r="M692" i="1" s="1"/>
  <c r="K683" i="1"/>
  <c r="M683" i="1" s="1"/>
  <c r="K668" i="1"/>
  <c r="K685" i="1"/>
  <c r="M685" i="1" s="1"/>
  <c r="K680" i="1"/>
  <c r="M680" i="1" s="1"/>
  <c r="K670" i="1"/>
  <c r="M670" i="1" s="1"/>
  <c r="I713" i="11"/>
  <c r="I705" i="11"/>
  <c r="I697" i="11"/>
  <c r="I689" i="11"/>
  <c r="I710" i="11"/>
  <c r="I702" i="11"/>
  <c r="I694" i="11"/>
  <c r="I716" i="11"/>
  <c r="I707" i="11"/>
  <c r="I699" i="11"/>
  <c r="I691" i="11"/>
  <c r="I712" i="11"/>
  <c r="I704" i="11"/>
  <c r="I696" i="11"/>
  <c r="I688" i="11"/>
  <c r="I706" i="11"/>
  <c r="I690" i="11"/>
  <c r="I684" i="11"/>
  <c r="I678" i="11"/>
  <c r="I670" i="11"/>
  <c r="I647" i="11"/>
  <c r="I646" i="11"/>
  <c r="I645" i="11"/>
  <c r="I703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00" i="11"/>
  <c r="I683" i="11"/>
  <c r="I680" i="11"/>
  <c r="I672" i="11"/>
  <c r="I698" i="11"/>
  <c r="I682" i="11"/>
  <c r="I674" i="11"/>
  <c r="I701" i="11"/>
  <c r="I687" i="11"/>
  <c r="I669" i="11"/>
  <c r="I695" i="11"/>
  <c r="I679" i="11"/>
  <c r="I692" i="11"/>
  <c r="I685" i="11"/>
  <c r="I676" i="11"/>
  <c r="I677" i="11"/>
  <c r="I711" i="11"/>
  <c r="I693" i="11"/>
  <c r="I681" i="11"/>
  <c r="I709" i="11"/>
  <c r="I686" i="11"/>
  <c r="I671" i="11"/>
  <c r="I673" i="11"/>
  <c r="I708" i="11"/>
  <c r="I668" i="11"/>
  <c r="Y752" i="1" l="1"/>
  <c r="G87" i="9"/>
  <c r="H23" i="9"/>
  <c r="Y739" i="1"/>
  <c r="Y774" i="1"/>
  <c r="H183" i="9"/>
  <c r="Y777" i="1"/>
  <c r="D215" i="9"/>
  <c r="Y751" i="1"/>
  <c r="F87" i="9"/>
  <c r="E119" i="9"/>
  <c r="Y757" i="1"/>
  <c r="Y779" i="1"/>
  <c r="F215" i="9"/>
  <c r="Y772" i="1"/>
  <c r="F183" i="9"/>
  <c r="Y767" i="1"/>
  <c r="H151" i="9"/>
  <c r="F119" i="9"/>
  <c r="Y758" i="1"/>
  <c r="Y753" i="1"/>
  <c r="H87" i="9"/>
  <c r="E183" i="9"/>
  <c r="Y771" i="1"/>
  <c r="Y748" i="1"/>
  <c r="C87" i="9"/>
  <c r="Y760" i="1"/>
  <c r="H119" i="9"/>
  <c r="Y776" i="1"/>
  <c r="C215" i="9"/>
  <c r="I23" i="9"/>
  <c r="Y740" i="1"/>
  <c r="Y738" i="1"/>
  <c r="G23" i="9"/>
  <c r="Y769" i="1"/>
  <c r="C183" i="9"/>
  <c r="Y754" i="1"/>
  <c r="I87" i="9"/>
  <c r="G119" i="9"/>
  <c r="Y759" i="1"/>
  <c r="G55" i="9"/>
  <c r="Y745" i="1"/>
  <c r="Y736" i="1"/>
  <c r="E23" i="9"/>
  <c r="C55" i="9"/>
  <c r="Y741" i="1"/>
  <c r="Y746" i="1"/>
  <c r="H55" i="9"/>
  <c r="D55" i="9"/>
  <c r="Y742" i="1"/>
  <c r="Y765" i="1"/>
  <c r="F151" i="9"/>
  <c r="Y773" i="1"/>
  <c r="G183" i="9"/>
  <c r="Y747" i="1"/>
  <c r="I55" i="9"/>
  <c r="F55" i="9"/>
  <c r="D23" i="9"/>
  <c r="Y735" i="1"/>
  <c r="K715" i="1"/>
  <c r="M668" i="1"/>
  <c r="Y737" i="1"/>
  <c r="F23" i="9"/>
  <c r="I183" i="9"/>
  <c r="I151" i="9"/>
  <c r="Y768" i="1"/>
  <c r="D87" i="9"/>
  <c r="Y749" i="1"/>
  <c r="Y761" i="1"/>
  <c r="I119" i="9"/>
  <c r="Y778" i="1"/>
  <c r="Y743" i="1"/>
  <c r="D151" i="9"/>
  <c r="Y750" i="1"/>
  <c r="E87" i="9"/>
  <c r="C119" i="9"/>
  <c r="Y755" i="1"/>
  <c r="E151" i="9"/>
  <c r="Y764" i="1"/>
  <c r="D183" i="9"/>
  <c r="Y770" i="1"/>
  <c r="C151" i="9"/>
  <c r="Y762" i="1"/>
  <c r="G151" i="9"/>
  <c r="Y766" i="1"/>
  <c r="D119" i="9"/>
  <c r="Y756" i="1"/>
  <c r="I715" i="11"/>
  <c r="J630" i="11"/>
  <c r="C23" i="9" l="1"/>
  <c r="M715" i="1"/>
  <c r="Y734" i="1"/>
  <c r="Y815" i="1" s="1"/>
  <c r="J710" i="11"/>
  <c r="J702" i="11"/>
  <c r="J694" i="11"/>
  <c r="J716" i="11"/>
  <c r="J707" i="11"/>
  <c r="J699" i="11"/>
  <c r="J691" i="11"/>
  <c r="J712" i="11"/>
  <c r="J704" i="11"/>
  <c r="J696" i="11"/>
  <c r="J688" i="11"/>
  <c r="J709" i="11"/>
  <c r="J701" i="11"/>
  <c r="J693" i="11"/>
  <c r="J685" i="11"/>
  <c r="J703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700" i="11"/>
  <c r="J683" i="11"/>
  <c r="J680" i="11"/>
  <c r="J672" i="11"/>
  <c r="J713" i="11"/>
  <c r="J697" i="11"/>
  <c r="J687" i="11"/>
  <c r="J677" i="11"/>
  <c r="J669" i="11"/>
  <c r="J711" i="11"/>
  <c r="J695" i="11"/>
  <c r="J686" i="11"/>
  <c r="J679" i="11"/>
  <c r="J671" i="11"/>
  <c r="J698" i="11"/>
  <c r="J682" i="11"/>
  <c r="J692" i="11"/>
  <c r="J676" i="11"/>
  <c r="J689" i="11"/>
  <c r="J673" i="11"/>
  <c r="J674" i="11"/>
  <c r="J705" i="11"/>
  <c r="J681" i="11"/>
  <c r="J684" i="11"/>
  <c r="J678" i="11"/>
  <c r="J646" i="11"/>
  <c r="J708" i="11"/>
  <c r="J668" i="11"/>
  <c r="J647" i="11"/>
  <c r="J645" i="11"/>
  <c r="J670" i="11"/>
  <c r="J706" i="11"/>
  <c r="J690" i="11"/>
  <c r="J715" i="11" l="1"/>
  <c r="L647" i="11"/>
  <c r="K644" i="11"/>
  <c r="K716" i="11" l="1"/>
  <c r="K707" i="11"/>
  <c r="K699" i="11"/>
  <c r="K691" i="11"/>
  <c r="K712" i="11"/>
  <c r="K704" i="11"/>
  <c r="K696" i="11"/>
  <c r="K709" i="11"/>
  <c r="K701" i="11"/>
  <c r="K693" i="11"/>
  <c r="K706" i="11"/>
  <c r="K698" i="11"/>
  <c r="K690" i="11"/>
  <c r="K700" i="11"/>
  <c r="K683" i="11"/>
  <c r="K680" i="11"/>
  <c r="K672" i="11"/>
  <c r="K713" i="11"/>
  <c r="K697" i="11"/>
  <c r="K687" i="11"/>
  <c r="K677" i="11"/>
  <c r="K669" i="11"/>
  <c r="K710" i="11"/>
  <c r="K694" i="11"/>
  <c r="K682" i="11"/>
  <c r="K674" i="11"/>
  <c r="K708" i="11"/>
  <c r="K692" i="11"/>
  <c r="K676" i="11"/>
  <c r="K668" i="11"/>
  <c r="K695" i="11"/>
  <c r="K679" i="11"/>
  <c r="K689" i="11"/>
  <c r="K685" i="11"/>
  <c r="K673" i="11"/>
  <c r="K670" i="11"/>
  <c r="K711" i="11"/>
  <c r="K688" i="11"/>
  <c r="K686" i="11"/>
  <c r="K671" i="11"/>
  <c r="K705" i="11"/>
  <c r="K681" i="11"/>
  <c r="K684" i="11"/>
  <c r="K678" i="11"/>
  <c r="K675" i="11"/>
  <c r="K703" i="11"/>
  <c r="K702" i="11"/>
  <c r="L712" i="11"/>
  <c r="L704" i="11"/>
  <c r="L696" i="11"/>
  <c r="L688" i="11"/>
  <c r="L709" i="11"/>
  <c r="M709" i="11" s="1"/>
  <c r="Y775" i="11" s="1"/>
  <c r="L701" i="11"/>
  <c r="M701" i="11" s="1"/>
  <c r="Y767" i="11" s="1"/>
  <c r="L693" i="11"/>
  <c r="M693" i="11" s="1"/>
  <c r="Y759" i="11" s="1"/>
  <c r="L706" i="11"/>
  <c r="M706" i="11" s="1"/>
  <c r="Y772" i="11" s="1"/>
  <c r="L698" i="11"/>
  <c r="M698" i="11" s="1"/>
  <c r="Y764" i="11" s="1"/>
  <c r="L690" i="11"/>
  <c r="L711" i="11"/>
  <c r="L703" i="11"/>
  <c r="L695" i="11"/>
  <c r="L687" i="11"/>
  <c r="M687" i="11" s="1"/>
  <c r="Y753" i="11" s="1"/>
  <c r="L713" i="11"/>
  <c r="M713" i="11" s="1"/>
  <c r="Y779" i="11" s="1"/>
  <c r="L697" i="11"/>
  <c r="M697" i="11" s="1"/>
  <c r="Y763" i="11" s="1"/>
  <c r="L677" i="11"/>
  <c r="L669" i="11"/>
  <c r="L710" i="11"/>
  <c r="L694" i="11"/>
  <c r="L682" i="11"/>
  <c r="L674" i="11"/>
  <c r="L707" i="11"/>
  <c r="M707" i="11" s="1"/>
  <c r="Y773" i="11" s="1"/>
  <c r="L691" i="11"/>
  <c r="L686" i="11"/>
  <c r="L679" i="11"/>
  <c r="M679" i="11" s="1"/>
  <c r="Y745" i="11" s="1"/>
  <c r="L671" i="11"/>
  <c r="L705" i="11"/>
  <c r="L689" i="11"/>
  <c r="L685" i="11"/>
  <c r="L681" i="11"/>
  <c r="M681" i="11" s="1"/>
  <c r="Y747" i="11" s="1"/>
  <c r="L673" i="11"/>
  <c r="M673" i="11" s="1"/>
  <c r="Y739" i="11" s="1"/>
  <c r="L692" i="11"/>
  <c r="M692" i="11" s="1"/>
  <c r="Y758" i="11" s="1"/>
  <c r="L676" i="11"/>
  <c r="M676" i="11" s="1"/>
  <c r="Y742" i="11" s="1"/>
  <c r="L670" i="11"/>
  <c r="M670" i="11" s="1"/>
  <c r="Y736" i="11" s="1"/>
  <c r="L716" i="11"/>
  <c r="L708" i="11"/>
  <c r="M708" i="11" s="1"/>
  <c r="Y774" i="11" s="1"/>
  <c r="L668" i="11"/>
  <c r="L684" i="11"/>
  <c r="M684" i="11" s="1"/>
  <c r="Y750" i="11" s="1"/>
  <c r="L678" i="11"/>
  <c r="L699" i="11"/>
  <c r="M699" i="11" s="1"/>
  <c r="Y765" i="11" s="1"/>
  <c r="L675" i="11"/>
  <c r="L672" i="11"/>
  <c r="M672" i="11" s="1"/>
  <c r="Y738" i="11" s="1"/>
  <c r="L683" i="11"/>
  <c r="L680" i="11"/>
  <c r="M680" i="11" s="1"/>
  <c r="Y746" i="11" s="1"/>
  <c r="L702" i="11"/>
  <c r="L700" i="11"/>
  <c r="M700" i="11" s="1"/>
  <c r="Y766" i="11" s="1"/>
  <c r="M685" i="11" l="1"/>
  <c r="Y751" i="11" s="1"/>
  <c r="M674" i="11"/>
  <c r="Y740" i="11" s="1"/>
  <c r="M689" i="11"/>
  <c r="Y755" i="11" s="1"/>
  <c r="M682" i="11"/>
  <c r="Y748" i="11" s="1"/>
  <c r="M677" i="11"/>
  <c r="Y743" i="11" s="1"/>
  <c r="M712" i="11"/>
  <c r="Y778" i="11" s="1"/>
  <c r="M678" i="11"/>
  <c r="Y744" i="11" s="1"/>
  <c r="M705" i="11"/>
  <c r="Y771" i="11" s="1"/>
  <c r="M691" i="11"/>
  <c r="Y757" i="11" s="1"/>
  <c r="M694" i="11"/>
  <c r="Y760" i="11" s="1"/>
  <c r="M686" i="11"/>
  <c r="Y752" i="11" s="1"/>
  <c r="K715" i="11"/>
  <c r="M702" i="11"/>
  <c r="Y768" i="11" s="1"/>
  <c r="M695" i="11"/>
  <c r="Y761" i="11" s="1"/>
  <c r="M703" i="11"/>
  <c r="Y769" i="11" s="1"/>
  <c r="M688" i="11"/>
  <c r="Y754" i="11" s="1"/>
  <c r="M683" i="11"/>
  <c r="Y749" i="11" s="1"/>
  <c r="M671" i="11"/>
  <c r="Y737" i="11" s="1"/>
  <c r="M710" i="11"/>
  <c r="Y776" i="11" s="1"/>
  <c r="M711" i="11"/>
  <c r="Y777" i="11" s="1"/>
  <c r="M696" i="11"/>
  <c r="Y762" i="11" s="1"/>
  <c r="L715" i="11"/>
  <c r="M668" i="11"/>
  <c r="M675" i="11"/>
  <c r="Y741" i="11" s="1"/>
  <c r="M669" i="11"/>
  <c r="Y735" i="11" s="1"/>
  <c r="M690" i="11"/>
  <c r="Y756" i="11" s="1"/>
  <c r="M704" i="11"/>
  <c r="Y770" i="11" s="1"/>
  <c r="M715" i="11" l="1"/>
  <c r="Y734" i="11"/>
  <c r="Y815" i="11" s="1"/>
</calcChain>
</file>

<file path=xl/sharedStrings.xml><?xml version="1.0" encoding="utf-8"?>
<sst xmlns="http://schemas.openxmlformats.org/spreadsheetml/2006/main" count="4942" uniqueCount="1277">
  <si>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</si>
  <si>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</si>
  <si>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</si>
  <si>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</si>
  <si>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</si>
  <si>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</si>
  <si>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</si>
  <si>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</si>
  <si>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</si>
  <si>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</si>
  <si>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</si>
  <si>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</si>
  <si>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</si>
  <si>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</si>
  <si>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</si>
  <si>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</si>
  <si>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</si>
  <si>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</si>
  <si>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</si>
  <si>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</si>
  <si>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</si>
  <si>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</si>
  <si>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</si>
  <si>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</si>
  <si>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</si>
  <si>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</si>
  <si>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</si>
  <si>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</si>
  <si>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</si>
  <si>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</si>
  <si>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</si>
  <si>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</si>
  <si>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</si>
  <si>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</si>
  <si>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</si>
  <si>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</si>
  <si>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</si>
  <si>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</si>
  <si>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</si>
  <si>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</si>
  <si>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</si>
  <si>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</si>
  <si>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</si>
  <si>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</si>
  <si>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</si>
  <si>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</si>
  <si>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</si>
  <si>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</si>
  <si>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</si>
  <si>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</si>
  <si>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</si>
  <si>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</si>
  <si>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</si>
  <si>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</si>
  <si>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</si>
  <si>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</si>
  <si>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</si>
  <si>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</si>
  <si>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</si>
  <si>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</si>
  <si>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</si>
  <si>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</si>
  <si>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</si>
  <si>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</si>
  <si>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</si>
  <si>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</si>
  <si>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</si>
  <si>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</si>
  <si>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</si>
  <si>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</si>
  <si>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</si>
  <si>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</si>
  <si>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</si>
  <si>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</si>
  <si>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</si>
  <si>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</si>
  <si>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</si>
  <si>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</si>
  <si>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</si>
  <si>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</si>
  <si>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</si>
  <si>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</si>
  <si>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</si>
  <si>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</si>
  <si>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</si>
  <si>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</si>
  <si>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</si>
  <si>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</si>
  <si>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</si>
  <si>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</si>
  <si>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</si>
  <si>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</si>
  <si>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</si>
  <si>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</si>
  <si>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</si>
  <si>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</si>
  <si>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</si>
  <si>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</si>
  <si>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</si>
  <si>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</si>
  <si>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</si>
  <si>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</si>
  <si>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</si>
  <si>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</si>
  <si>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</si>
  <si>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</si>
  <si>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</si>
  <si>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</si>
  <si>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</si>
  <si>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</si>
  <si>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</si>
  <si>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</si>
  <si>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</si>
  <si>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</si>
  <si>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</si>
  <si>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</si>
  <si>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</si>
  <si>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</si>
  <si>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</si>
  <si>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</si>
  <si>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</si>
  <si>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</si>
  <si>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</si>
  <si>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</si>
  <si>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</si>
  <si>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</si>
  <si>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</si>
  <si>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</si>
  <si>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</si>
  <si>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</si>
  <si>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</si>
  <si>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</si>
  <si>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</si>
  <si>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</si>
  <si>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</si>
  <si>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</si>
  <si>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</si>
  <si>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</si>
  <si>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</si>
  <si>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</si>
  <si>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</si>
  <si>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</si>
  <si>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</si>
  <si>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</si>
  <si>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</si>
  <si>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</si>
  <si>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</si>
  <si>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</si>
  <si>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</si>
  <si>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</si>
  <si>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</si>
  <si>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</si>
  <si>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</si>
  <si>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</si>
  <si>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</si>
  <si>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</si>
  <si>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</si>
  <si>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</si>
  <si>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</si>
  <si>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</si>
  <si>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</si>
  <si>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</si>
  <si>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</si>
  <si>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</si>
  <si>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</si>
  <si>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</si>
  <si>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</si>
  <si>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</si>
  <si>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</si>
  <si>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</si>
  <si>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</si>
  <si>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</si>
  <si>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</si>
  <si>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</si>
  <si>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</si>
  <si>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</si>
  <si>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</si>
  <si>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</si>
  <si>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</si>
  <si>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</si>
  <si>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</si>
  <si>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</si>
  <si>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</si>
  <si>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</si>
  <si>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</si>
  <si>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</si>
  <si>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</si>
  <si>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</si>
  <si>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</si>
  <si>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</si>
  <si>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</si>
  <si>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</si>
  <si>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</si>
  <si>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</si>
  <si>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</si>
  <si>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</si>
  <si>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</si>
  <si>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</si>
  <si>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</si>
  <si>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</si>
  <si>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</si>
  <si>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</si>
  <si>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</si>
  <si>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</si>
  <si>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</si>
  <si>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</si>
  <si>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</si>
  <si>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</si>
  <si>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</si>
  <si>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</si>
  <si>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</si>
  <si>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</si>
  <si>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</si>
  <si>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</si>
  <si>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</si>
  <si>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</si>
  <si>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</si>
  <si>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</si>
  <si>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</si>
  <si>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</si>
  <si>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</si>
  <si>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</si>
  <si>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</si>
  <si>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</si>
  <si>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</si>
  <si>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</si>
  <si>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</si>
  <si>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</si>
  <si>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</si>
  <si>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</si>
  <si>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</si>
  <si>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</si>
  <si>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</si>
  <si>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</si>
  <si>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</si>
  <si>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</si>
  <si>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</si>
  <si>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</si>
  <si>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</si>
  <si>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</si>
  <si>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</si>
  <si>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</si>
  <si>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</si>
  <si>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</si>
  <si>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</si>
  <si>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</si>
  <si>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</si>
  <si>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</si>
  <si>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</si>
  <si>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</si>
  <si>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</si>
  <si>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</si>
  <si>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</si>
  <si>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</si>
  <si>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</si>
  <si>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</si>
  <si>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</si>
  <si>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</si>
  <si>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</si>
  <si>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</si>
  <si>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</si>
  <si>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</si>
  <si>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</si>
  <si>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</si>
  <si>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</si>
  <si>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</si>
  <si>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</si>
  <si>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</si>
  <si>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</si>
  <si>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</si>
  <si>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</si>
  <si>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</si>
  <si>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</si>
  <si>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</si>
  <si>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</si>
  <si>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</si>
  <si>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</si>
  <si>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</si>
  <si>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</si>
  <si>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</si>
  <si>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</si>
  <si>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</si>
  <si>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</si>
  <si>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</si>
  <si>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</si>
  <si>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</si>
  <si>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</si>
  <si>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</si>
  <si>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</si>
  <si>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</si>
  <si>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</si>
  <si>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</si>
  <si>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</si>
  <si>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</si>
  <si>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</si>
  <si>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</si>
  <si>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</si>
  <si>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</si>
  <si>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</si>
  <si>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</si>
  <si>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</si>
  <si>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</si>
  <si>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</si>
  <si>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</si>
  <si>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</si>
  <si>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</si>
  <si>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</si>
  <si>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</si>
  <si>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</si>
  <si>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</si>
  <si>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</si>
  <si>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</si>
  <si>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</si>
  <si>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</si>
  <si>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</si>
  <si>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</si>
  <si>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</si>
  <si>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</si>
  <si>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</si>
  <si>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</si>
  <si>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</si>
  <si>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</si>
  <si>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</si>
  <si>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</si>
  <si>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</si>
  <si>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</si>
  <si>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</si>
  <si>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</si>
  <si>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</si>
  <si>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</si>
  <si>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</si>
  <si>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</si>
  <si>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</si>
  <si>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</si>
  <si>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</si>
  <si>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</si>
  <si>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</si>
  <si>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</si>
  <si>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</si>
  <si>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</si>
  <si>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</si>
  <si>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</si>
  <si>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</si>
  <si>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</si>
  <si>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</si>
  <si>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</si>
  <si>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</si>
  <si>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</si>
  <si>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</si>
  <si>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</si>
  <si>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</si>
  <si>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</si>
  <si>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</si>
  <si>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</si>
  <si>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</si>
  <si>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</si>
  <si>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</si>
  <si>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</si>
  <si>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</si>
  <si>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</si>
  <si>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</si>
  <si>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</si>
  <si>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</si>
  <si>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</si>
  <si>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</si>
  <si>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</si>
  <si>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</si>
  <si>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</si>
  <si>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</si>
  <si>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</si>
  <si>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</si>
  <si>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</si>
  <si>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</si>
  <si>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</si>
  <si>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</si>
  <si>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</si>
  <si>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</si>
  <si>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</si>
  <si>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</si>
  <si>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</si>
  <si>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</si>
  <si>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</si>
  <si>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</si>
  <si>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</si>
  <si>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</si>
  <si>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</si>
  <si>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</si>
  <si>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</si>
  <si>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</si>
  <si>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</si>
  <si>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</si>
  <si>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</si>
  <si>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</si>
  <si>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</si>
  <si>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</si>
  <si>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</si>
  <si>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</si>
  <si>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</si>
  <si>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</si>
  <si>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</si>
  <si>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</si>
  <si>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</si>
  <si>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</si>
  <si>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</si>
  <si>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</si>
  <si>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</si>
  <si>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</si>
  <si>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</si>
  <si>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</si>
  <si>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</si>
  <si>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</si>
  <si>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</si>
  <si>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</si>
  <si>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</si>
  <si>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</si>
  <si>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</si>
  <si>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</si>
  <si>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</si>
  <si>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</si>
  <si>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</si>
  <si>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</si>
  <si>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</si>
  <si>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</si>
  <si>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</si>
  <si>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</si>
  <si>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</si>
  <si>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</si>
  <si>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</si>
  <si>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</si>
  <si>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</si>
  <si>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</si>
  <si>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</si>
  <si>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</si>
  <si>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</si>
  <si>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</si>
  <si>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</si>
  <si>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</si>
  <si>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</si>
  <si>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</si>
  <si>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</si>
  <si>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</si>
  <si>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</si>
  <si>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</si>
  <si>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</si>
  <si>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</si>
  <si>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</si>
  <si>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</si>
  <si>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</si>
  <si>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</si>
  <si>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</si>
  <si>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</si>
  <si>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</si>
  <si>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</si>
  <si>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</si>
  <si>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</si>
  <si>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</si>
  <si>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</si>
  <si>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</si>
  <si>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</si>
  <si>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</si>
  <si>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</si>
  <si>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</si>
  <si>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</si>
  <si>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</si>
  <si>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</si>
  <si>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</si>
  <si>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</si>
  <si>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</si>
  <si>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</si>
  <si>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</si>
  <si>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</si>
  <si>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</si>
  <si>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</si>
  <si>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</si>
  <si>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</si>
  <si>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</si>
  <si>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</si>
  <si>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</si>
  <si>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</si>
  <si>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</si>
  <si>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</si>
  <si>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</si>
  <si>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</si>
  <si>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</si>
  <si>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</si>
  <si>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</si>
  <si>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</si>
  <si>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</si>
  <si>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</si>
  <si>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</si>
  <si>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</si>
  <si>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</si>
  <si>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</si>
  <si>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</si>
  <si>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</si>
  <si>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</si>
  <si>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</si>
  <si>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</si>
  <si>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</si>
  <si>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</si>
  <si>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</si>
  <si>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</si>
  <si>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</si>
  <si>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</si>
  <si>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</si>
  <si>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</si>
  <si>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</si>
  <si>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</si>
  <si>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</si>
  <si>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</si>
  <si>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</si>
  <si>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</si>
  <si>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</si>
  <si>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</si>
  <si>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</si>
  <si>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</si>
  <si>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</si>
  <si>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</si>
  <si>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</si>
  <si>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</si>
  <si>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</si>
  <si>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</si>
  <si>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</si>
  <si>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</si>
  <si>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</si>
  <si>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</si>
  <si>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</si>
  <si>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</si>
  <si>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</si>
  <si>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</si>
  <si>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</si>
  <si>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</si>
  <si>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</si>
  <si>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</si>
  <si>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</si>
  <si>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</si>
  <si>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</si>
  <si>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</si>
  <si>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</si>
  <si>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</si>
  <si>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</si>
  <si>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</si>
  <si>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</si>
  <si>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</si>
  <si>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</si>
  <si>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</si>
  <si>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</si>
  <si>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</si>
  <si>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</si>
  <si>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</si>
  <si>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</si>
  <si>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</si>
  <si>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</si>
  <si>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</si>
  <si>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</si>
  <si>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</si>
  <si>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</si>
  <si>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</si>
  <si>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</si>
  <si>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</si>
  <si>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</si>
  <si>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</si>
  <si>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</si>
  <si>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</si>
  <si>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</si>
  <si>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</si>
  <si>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</si>
  <si>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</si>
  <si>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</si>
  <si>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</si>
  <si>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</si>
  <si>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</si>
  <si>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</si>
  <si>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</si>
  <si>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</si>
  <si>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</si>
  <si>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</si>
  <si>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</si>
  <si>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</si>
  <si>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</si>
  <si>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</si>
  <si>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</si>
  <si>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</si>
  <si>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</si>
  <si>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</si>
  <si>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</si>
  <si>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</si>
  <si>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</si>
  <si>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</si>
  <si>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</si>
  <si>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</si>
  <si>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</si>
  <si>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</si>
  <si>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</si>
  <si>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</si>
  <si>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</si>
  <si>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</si>
  <si>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</si>
  <si>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</si>
  <si>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</si>
  <si>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</si>
  <si>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</si>
  <si>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</si>
  <si>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</si>
  <si>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</si>
  <si>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</si>
  <si>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</si>
  <si>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</si>
  <si>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</si>
  <si>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</si>
  <si>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</si>
  <si>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</si>
  <si>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</si>
  <si>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</si>
  <si>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</si>
  <si>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</si>
  <si>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</si>
  <si>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</si>
  <si>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</si>
  <si>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</si>
  <si>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</si>
  <si>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</si>
  <si>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</si>
  <si>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</si>
  <si>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</si>
  <si>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</si>
  <si>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</si>
  <si>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</si>
  <si>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</si>
  <si>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</si>
  <si>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</si>
  <si>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</si>
  <si>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</si>
  <si>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</si>
  <si>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</si>
  <si>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</si>
  <si>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</si>
  <si>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</si>
  <si>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</si>
  <si>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</si>
  <si>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</si>
  <si>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</si>
  <si>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</si>
  <si>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</si>
  <si>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</si>
  <si>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</si>
  <si>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</si>
  <si>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</si>
  <si>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</si>
  <si>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</si>
  <si>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</si>
  <si>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</si>
  <si>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</si>
  <si>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</si>
  <si>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</si>
  <si>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</si>
  <si>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</si>
  <si>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</si>
  <si>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</si>
  <si>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</si>
  <si>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</si>
  <si>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</si>
  <si>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</si>
  <si>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</si>
  <si>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</si>
  <si>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</si>
  <si>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</si>
  <si>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</si>
  <si>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</si>
  <si>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</si>
  <si>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</si>
  <si>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</si>
  <si>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</si>
  <si>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</si>
  <si>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</si>
  <si>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</si>
  <si>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</si>
  <si>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</si>
  <si>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</si>
  <si>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</si>
  <si>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</si>
  <si>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</si>
  <si>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</si>
  <si>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</si>
  <si>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</si>
  <si>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</si>
  <si>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</si>
  <si>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</si>
  <si>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</si>
  <si>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</si>
  <si>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</si>
  <si>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</si>
  <si>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</si>
  <si>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</si>
  <si>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</si>
  <si>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</si>
  <si>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</si>
  <si>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</si>
  <si>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</si>
  <si>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</si>
  <si>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</si>
  <si>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</si>
  <si>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</si>
  <si>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</si>
  <si>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</si>
  <si>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</si>
  <si>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</si>
  <si>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</si>
  <si>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</si>
  <si>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</si>
  <si>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</si>
  <si>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</si>
  <si>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</si>
  <si>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</si>
  <si>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</si>
  <si>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</si>
  <si>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</si>
  <si>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</si>
  <si>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</si>
  <si>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</si>
  <si>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</si>
  <si>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</si>
  <si>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</si>
  <si>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</si>
  <si>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</si>
  <si>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</si>
  <si>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</si>
  <si>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</si>
  <si>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</si>
  <si>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</si>
  <si>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</si>
  <si>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</si>
  <si>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</si>
  <si>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</si>
  <si>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</si>
  <si>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</si>
  <si>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</si>
  <si>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</si>
  <si>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</si>
  <si>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</si>
  <si>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</si>
  <si>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</si>
  <si>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</si>
  <si>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</si>
  <si>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</si>
  <si>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</si>
  <si>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</si>
  <si>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</si>
  <si>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</si>
  <si>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</si>
  <si>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</si>
  <si>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</si>
  <si>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</si>
  <si>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</si>
  <si>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</si>
  <si>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</si>
  <si>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</si>
  <si>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</si>
  <si>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</si>
  <si>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</si>
  <si>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</si>
  <si>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</si>
  <si>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</si>
  <si>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</si>
  <si>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</si>
  <si>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</si>
  <si>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</si>
  <si>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</si>
  <si>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</si>
  <si>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</si>
  <si>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</si>
  <si>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</si>
  <si>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</si>
  <si>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</si>
  <si>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</si>
  <si>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</si>
  <si>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</si>
  <si>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</si>
  <si>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</si>
  <si>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</si>
  <si>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</si>
  <si>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</si>
  <si>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</si>
  <si>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</si>
  <si>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</si>
  <si>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</si>
  <si>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</si>
  <si>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</si>
  <si>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</si>
  <si>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</si>
  <si>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</si>
  <si>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</si>
  <si>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</si>
  <si>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</si>
  <si>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</si>
  <si>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</si>
  <si>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</si>
  <si>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</si>
  <si>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</si>
  <si>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</si>
  <si>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</si>
  <si>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</si>
  <si>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</si>
  <si>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</si>
  <si>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</si>
  <si>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</si>
  <si>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</si>
  <si>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</si>
  <si>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</si>
  <si>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</si>
  <si>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</si>
  <si>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</si>
  <si>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</si>
  <si>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</si>
  <si>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</si>
  <si>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</si>
  <si>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</si>
  <si>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</si>
  <si>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</si>
  <si>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</si>
  <si>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</si>
  <si>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</si>
  <si>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</si>
  <si>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</si>
  <si>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</si>
  <si>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</si>
  <si>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</si>
  <si>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</si>
  <si>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</si>
  <si>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</si>
  <si>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</si>
  <si>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</si>
  <si>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</si>
  <si>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</si>
  <si>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</si>
  <si>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</si>
  <si>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</si>
  <si>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</si>
  <si>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</si>
  <si>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</si>
  <si>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</si>
  <si>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</si>
  <si>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</si>
  <si>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</si>
  <si>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</si>
  <si>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</si>
  <si>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</si>
  <si>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</si>
  <si>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</si>
  <si>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</si>
  <si>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</si>
  <si>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</si>
  <si>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</si>
  <si>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</si>
  <si>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</si>
  <si>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</si>
  <si>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</si>
  <si>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</si>
  <si>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</si>
  <si>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</si>
  <si>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</si>
  <si>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</si>
  <si>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</si>
  <si>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</si>
  <si>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</si>
  <si>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</si>
  <si>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</si>
  <si>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</si>
  <si>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</si>
  <si>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</si>
  <si>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</si>
  <si>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</si>
  <si>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</si>
  <si>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</si>
  <si>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</si>
  <si>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</si>
  <si>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</si>
  <si>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</si>
  <si>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</si>
  <si>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</si>
  <si>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</si>
  <si>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</si>
  <si>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</si>
  <si>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</si>
  <si>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</si>
  <si>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</si>
  <si>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</si>
  <si>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</si>
  <si>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</si>
  <si>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</si>
  <si>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</si>
  <si>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</si>
  <si>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</si>
  <si>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</si>
  <si>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</si>
  <si>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</si>
  <si>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</si>
  <si>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</si>
  <si>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</si>
  <si>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</si>
  <si>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</si>
  <si>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</si>
  <si>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</si>
  <si>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</si>
  <si>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</si>
  <si>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</si>
  <si>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</si>
  <si>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</si>
  <si>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</si>
  <si>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</si>
  <si>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</si>
  <si>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</si>
  <si>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</si>
  <si>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</si>
  <si>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</si>
  <si>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</si>
  <si>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</si>
  <si>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</si>
  <si>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</si>
  <si>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</si>
  <si>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</si>
  <si>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</si>
  <si>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</si>
  <si>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</si>
  <si>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</si>
  <si>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</si>
  <si>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</si>
  <si>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</si>
  <si>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</si>
  <si>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</si>
  <si>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</si>
  <si>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</si>
  <si>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</si>
  <si>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</si>
  <si>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</si>
  <si>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</si>
  <si>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</si>
  <si>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</si>
  <si>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</si>
  <si>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</si>
  <si>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</si>
  <si>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</si>
  <si>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</si>
  <si>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</si>
  <si>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</si>
  <si>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</si>
  <si>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</si>
  <si>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</si>
  <si>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</si>
  <si>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</si>
  <si>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</si>
  <si>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</si>
  <si>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</si>
  <si>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</si>
  <si>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</si>
  <si>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</si>
  <si>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</si>
  <si>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</si>
  <si>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</si>
  <si>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</si>
  <si>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</si>
  <si>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</si>
  <si>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</si>
  <si>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</si>
  <si>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</si>
  <si>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</si>
  <si>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</si>
  <si>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</si>
  <si>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</si>
  <si>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</si>
  <si>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</si>
  <si>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</si>
  <si>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</si>
  <si>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</si>
  <si>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</si>
  <si>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</si>
  <si>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</si>
  <si>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</si>
  <si>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</si>
  <si>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</si>
  <si>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</si>
  <si>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</si>
  <si>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</si>
  <si>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</si>
  <si>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</si>
  <si>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</si>
  <si>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</si>
  <si>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</si>
  <si>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</si>
  <si>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</si>
  <si>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</si>
  <si>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</si>
  <si>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</si>
  <si>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</si>
  <si>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</si>
  <si>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</si>
  <si>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</si>
  <si>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</si>
  <si>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</si>
  <si>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</si>
  <si>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</si>
  <si>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</si>
  <si>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</si>
  <si>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</si>
  <si>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</si>
  <si>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</si>
  <si>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</si>
  <si>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</si>
  <si>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</si>
  <si>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</si>
  <si>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</si>
  <si>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</si>
  <si>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</si>
  <si>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</si>
  <si>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</si>
  <si>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</si>
  <si>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</si>
  <si>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</si>
  <si>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</si>
  <si>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</si>
  <si>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</si>
  <si>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</si>
  <si>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</si>
  <si>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</si>
  <si>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</si>
  <si>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</si>
  <si>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</si>
  <si>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</si>
  <si>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</si>
  <si>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</si>
  <si>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</si>
  <si>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</si>
  <si>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</si>
  <si>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</si>
  <si>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</si>
  <si>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</si>
  <si>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</si>
  <si>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</si>
  <si>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</si>
  <si>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</si>
  <si>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</si>
  <si>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</si>
  <si>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</si>
  <si>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</si>
  <si>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</si>
  <si>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</si>
  <si>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</si>
  <si>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</si>
  <si>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</si>
  <si>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</si>
  <si>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</si>
  <si>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</si>
  <si>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</si>
  <si>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</si>
  <si>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</si>
  <si>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</si>
  <si>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</si>
  <si>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</si>
  <si>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</si>
  <si>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</si>
  <si>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</si>
  <si>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</si>
  <si>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</si>
  <si>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</si>
  <si>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</si>
  <si>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</si>
  <si>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</si>
  <si>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</si>
  <si>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</si>
  <si>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</si>
  <si>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</si>
  <si>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</si>
  <si>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</si>
  <si>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</si>
  <si>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</si>
  <si>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</si>
  <si>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</si>
  <si>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</si>
  <si>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</si>
  <si>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</si>
  <si>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</si>
  <si>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</si>
  <si>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</si>
  <si>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</si>
  <si>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</si>
  <si>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</si>
  <si>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</si>
  <si>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</si>
  <si>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</si>
  <si>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</si>
  <si>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</si>
  <si>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</si>
  <si>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</si>
  <si>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</si>
  <si>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</si>
  <si>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</si>
  <si>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</si>
  <si>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</si>
  <si>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</si>
  <si>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</si>
  <si>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</si>
  <si>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</si>
  <si>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</si>
  <si>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</si>
  <si>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</si>
  <si>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</si>
  <si>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</si>
  <si>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</si>
  <si>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</si>
  <si>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</si>
  <si>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</si>
  <si>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</si>
  <si>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</si>
  <si>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</si>
  <si>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</si>
  <si>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</si>
  <si>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</si>
  <si>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</si>
  <si>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</si>
  <si>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</si>
  <si>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</si>
  <si>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</si>
  <si>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</si>
  <si>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</si>
  <si>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</si>
  <si>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</si>
  <si>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</si>
  <si>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</si>
  <si>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</si>
  <si>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</si>
  <si>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</si>
  <si>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</si>
  <si>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</si>
  <si>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</si>
  <si>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</si>
  <si>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</si>
  <si>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</si>
  <si>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</si>
  <si>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</si>
  <si>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</si>
  <si>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</si>
  <si>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</si>
  <si>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</si>
  <si>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</si>
  <si>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</si>
  <si>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</si>
  <si>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</si>
  <si>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</si>
  <si>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</si>
  <si>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</si>
  <si>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</si>
  <si>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</si>
  <si>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</si>
  <si>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</si>
  <si>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</si>
  <si>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</si>
  <si>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</si>
  <si>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</si>
  <si>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</si>
  <si>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</si>
  <si>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</si>
  <si>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</si>
  <si>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</si>
  <si>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</si>
  <si>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</si>
  <si>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</si>
  <si>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</si>
  <si>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</si>
  <si>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</si>
  <si>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</si>
  <si>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</si>
  <si>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</si>
  <si>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</si>
  <si>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</si>
  <si>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</si>
  <si>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</si>
  <si>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</si>
  <si>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</si>
  <si>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</si>
  <si>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</si>
  <si>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</si>
  <si>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</si>
  <si>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</si>
  <si>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</si>
  <si>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</si>
  <si>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</si>
  <si>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</si>
  <si>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</si>
  <si>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</si>
  <si>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</si>
  <si>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</si>
  <si>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</si>
  <si>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</si>
  <si>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</si>
  <si>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</si>
  <si>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</si>
  <si>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</si>
  <si>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</si>
  <si>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</si>
  <si>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</si>
  <si>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</si>
  <si>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</si>
  <si>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</si>
  <si>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</si>
  <si>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</si>
  <si>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</si>
  <si>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</si>
  <si>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</si>
  <si>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</si>
  <si>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</si>
  <si>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</si>
  <si>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</si>
  <si>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</si>
  <si>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</si>
  <si>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</si>
  <si>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</si>
  <si>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</si>
  <si>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</si>
  <si>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</si>
  <si>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</si>
  <si>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</si>
  <si>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</si>
  <si>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</si>
  <si>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</si>
  <si>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</si>
  <si>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</si>
  <si>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</si>
  <si>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</si>
  <si>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</si>
  <si>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</si>
  <si>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</si>
  <si>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</si>
  <si>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</si>
  <si>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</si>
  <si>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</si>
  <si>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</si>
  <si>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</si>
  <si>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</si>
  <si>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</si>
  <si>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</si>
  <si>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</si>
  <si>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</si>
  <si>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</si>
  <si>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</si>
  <si>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</si>
  <si>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</si>
  <si>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</si>
  <si>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</si>
  <si>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</si>
  <si>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</si>
  <si>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</si>
  <si>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</si>
  <si>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</si>
  <si>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</si>
  <si>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</si>
  <si>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</si>
  <si>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</si>
  <si>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</si>
  <si>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</si>
  <si>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</si>
  <si>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</si>
  <si>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</si>
  <si>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</si>
  <si>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</si>
  <si>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</si>
  <si>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</si>
  <si>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926</t>
  </si>
  <si>
    <t>Inland Northwest Behavioral Health</t>
  </si>
  <si>
    <t>104 W 5th Ave</t>
  </si>
  <si>
    <t>Spokane, WA 99204</t>
  </si>
  <si>
    <t>Spokane</t>
  </si>
  <si>
    <t>Dorothy Sawyer</t>
  </si>
  <si>
    <t>Troy Cherry</t>
  </si>
  <si>
    <t>Ron Escarda</t>
  </si>
  <si>
    <t>509-992-1888</t>
  </si>
  <si>
    <t>509-293-6517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</si>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</sst>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POKANE\DOH\YE926-2019\YE92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ior Year"/>
      <sheetName val="Transmittal"/>
      <sheetName val="INFO_PG1"/>
      <sheetName val="INFO_PG2"/>
      <sheetName val="SS2_3_5_6"/>
      <sheetName val="SS4"/>
      <sheetName val="SS8"/>
      <sheetName val="FS"/>
      <sheetName val="CC's"/>
    </sheetNames>
    <sheetDataSet>
      <sheetData sheetId="0"/>
      <sheetData sheetId="1">
        <row r="59">
          <cell r="H59">
            <v>681</v>
          </cell>
          <cell r="AY59">
            <v>2043</v>
          </cell>
          <cell r="BE59">
            <v>68235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560841.13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474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94825.510000000009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17103.87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110010.62</v>
          </cell>
          <cell r="AZ72">
            <v>10964</v>
          </cell>
          <cell r="BA72">
            <v>2145</v>
          </cell>
          <cell r="BB72">
            <v>79654.539999999994</v>
          </cell>
          <cell r="BC72">
            <v>206</v>
          </cell>
          <cell r="BD72">
            <v>64521.47</v>
          </cell>
          <cell r="BE72">
            <v>275225.31</v>
          </cell>
          <cell r="BF72">
            <v>56061.66</v>
          </cell>
          <cell r="BG72">
            <v>26548.09</v>
          </cell>
          <cell r="BH72">
            <v>31852.47</v>
          </cell>
          <cell r="BI72">
            <v>0</v>
          </cell>
          <cell r="BJ72">
            <v>143761.38999999998</v>
          </cell>
          <cell r="BK72">
            <v>47579.44</v>
          </cell>
          <cell r="BL72">
            <v>150624.18</v>
          </cell>
          <cell r="BM72">
            <v>0</v>
          </cell>
          <cell r="BN72">
            <v>96931.770000000019</v>
          </cell>
          <cell r="BO72">
            <v>0</v>
          </cell>
          <cell r="BP72">
            <v>53331.740000000005</v>
          </cell>
          <cell r="BQ72">
            <v>0</v>
          </cell>
          <cell r="BR72">
            <v>169187.63</v>
          </cell>
          <cell r="BS72">
            <v>0</v>
          </cell>
          <cell r="BT72">
            <v>0</v>
          </cell>
          <cell r="BU72">
            <v>0</v>
          </cell>
          <cell r="BV72">
            <v>40275.259999999995</v>
          </cell>
          <cell r="BW72">
            <v>318100.08999999997</v>
          </cell>
          <cell r="BX72">
            <v>31443.54</v>
          </cell>
          <cell r="BY72">
            <v>348246.48000000004</v>
          </cell>
          <cell r="BZ72">
            <v>0</v>
          </cell>
          <cell r="CA72">
            <v>0</v>
          </cell>
          <cell r="CB72">
            <v>0</v>
          </cell>
          <cell r="CC72">
            <v>48570.12</v>
          </cell>
          <cell r="CD72">
            <v>0</v>
          </cell>
        </row>
        <row r="83">
          <cell r="C83" t="str">
            <v>12/31/2018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99" transitionEvaluation="1" transitionEntry="1" codeName="Sheet1">
    <pageSetUpPr autoPageBreaks="0" fitToPage="1"/>
  </sheetPr>
  <dimension ref="A1:CF817"/>
  <sheetViews>
    <sheetView showGridLines="0" topLeftCell="A43" zoomScale="115" zoomScaleNormal="115" workbookViewId="0">
      <pane xSplit="2" ySplit="1" topLeftCell="C99" activePane="bottomRight" state="frozen"/>
      <selection activeCell="A43" sqref="A43"/>
      <selection pane="topRight" activeCell="C43" sqref="C43"/>
      <selection pane="bottomLeft" activeCell="A44" sqref="A44"/>
      <selection pane="bottomRight" activeCell="C232" sqref="C232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2220806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947246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64070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38313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58479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60435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145751</v>
      </c>
      <c r="BC48" s="195">
        <f>ROUND(((B48/CE61)*BC61),0)</f>
        <v>0</v>
      </c>
      <c r="BD48" s="195">
        <f>ROUND(((B48/CE61)*BD61),0)</f>
        <v>8837</v>
      </c>
      <c r="BE48" s="195">
        <f>ROUND(((B48/CE61)*BE61),0)</f>
        <v>23936</v>
      </c>
      <c r="BF48" s="195">
        <f>ROUND(((B48/CE61)*BF61),0)</f>
        <v>39562</v>
      </c>
      <c r="BG48" s="195">
        <f>ROUND(((B48/CE61)*BG61),0)</f>
        <v>53351</v>
      </c>
      <c r="BH48" s="195">
        <f>ROUND(((B48/CE61)*BH61),0)</f>
        <v>12273</v>
      </c>
      <c r="BI48" s="195">
        <f>ROUND(((B48/CE61)*BI61),0)</f>
        <v>2324</v>
      </c>
      <c r="BJ48" s="195">
        <f>ROUND(((B48/CE61)*BJ61),0)</f>
        <v>52253</v>
      </c>
      <c r="BK48" s="195">
        <f>ROUND(((B48/CE61)*BK61),0)</f>
        <v>59577</v>
      </c>
      <c r="BL48" s="195">
        <f>ROUND(((B48/CE61)*BL61),0)</f>
        <v>162805</v>
      </c>
      <c r="BM48" s="195">
        <f>ROUND(((B48/CE61)*BM61),0)</f>
        <v>0</v>
      </c>
      <c r="BN48" s="195">
        <f>ROUND(((B48/CE61)*BN61),0)</f>
        <v>61924</v>
      </c>
      <c r="BO48" s="195">
        <f>ROUND(((B48/CE61)*BO61),0)</f>
        <v>0</v>
      </c>
      <c r="BP48" s="195">
        <f>ROUND(((B48/CE61)*BP61),0)</f>
        <v>39879</v>
      </c>
      <c r="BQ48" s="195">
        <f>ROUND(((B48/CE61)*BQ61),0)</f>
        <v>0</v>
      </c>
      <c r="BR48" s="195">
        <f>ROUND(((B48/CE61)*BR61),0)</f>
        <v>32862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27682</v>
      </c>
      <c r="BW48" s="195">
        <f>ROUND(((B48/CE61)*BW61),0)</f>
        <v>0</v>
      </c>
      <c r="BX48" s="195">
        <f>ROUND(((B48/CE61)*BX61),0)</f>
        <v>51150</v>
      </c>
      <c r="BY48" s="195">
        <f>ROUND(((B48/CE61)*BY61),0)</f>
        <v>181640</v>
      </c>
      <c r="BZ48" s="195">
        <f>ROUND(((B48/CE61)*BZ61),0)</f>
        <v>0</v>
      </c>
      <c r="CA48" s="195">
        <f>ROUND(((B48/CE61)*CA61),0)</f>
        <v>73395</v>
      </c>
      <c r="CB48" s="195">
        <f>ROUND(((B48/CE61)*CB61),0)</f>
        <v>0</v>
      </c>
      <c r="CC48" s="195">
        <f>ROUND(((B48/CE61)*CC61),0)</f>
        <v>23064</v>
      </c>
      <c r="CD48" s="195"/>
      <c r="CE48" s="195">
        <f>SUM(C48:CD48)</f>
        <v>2220808</v>
      </c>
    </row>
    <row r="49" spans="1:84" ht="12.65" customHeight="1" x14ac:dyDescent="0.3">
      <c r="A49" s="175" t="s">
        <v>206</v>
      </c>
      <c r="B49" s="195">
        <f>B47+B48</f>
        <v>2220806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2357259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936547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2246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26048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898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92549</v>
      </c>
      <c r="AZ52" s="195">
        <f>ROUND((B52/(CE76+CF76)*AZ76),0)</f>
        <v>67020</v>
      </c>
      <c r="BA52" s="195">
        <f>ROUND((B52/(CE76+CF76)*BA76),0)</f>
        <v>0</v>
      </c>
      <c r="BB52" s="195">
        <f>ROUND((B52/(CE76+CF76)*BB76),0)</f>
        <v>45221</v>
      </c>
      <c r="BC52" s="195">
        <f>ROUND((B52/(CE76+CF76)*BC76),0)</f>
        <v>0</v>
      </c>
      <c r="BD52" s="195">
        <f>ROUND((B52/(CE76+CF76)*BD76),0)</f>
        <v>9984</v>
      </c>
      <c r="BE52" s="195">
        <f>ROUND((B52/(CE76+CF76)*BE76),0)</f>
        <v>734176</v>
      </c>
      <c r="BF52" s="195">
        <f>ROUND((B52/(CE76+CF76)*BF76),0)</f>
        <v>44115</v>
      </c>
      <c r="BG52" s="195">
        <f>ROUND((B52/(CE76+CF76)*BG76),0)</f>
        <v>7911</v>
      </c>
      <c r="BH52" s="195">
        <f>ROUND((B52/(CE76+CF76)*BH76),0)</f>
        <v>9915</v>
      </c>
      <c r="BI52" s="195">
        <f>ROUND((B52/(CE76+CF76)*BI76),0)</f>
        <v>0</v>
      </c>
      <c r="BJ52" s="195">
        <f>ROUND((B52/(CE76+CF76)*BJ76),0)</f>
        <v>8291</v>
      </c>
      <c r="BK52" s="195">
        <f>ROUND((B52/(CE76+CF76)*BK76),0)</f>
        <v>8602</v>
      </c>
      <c r="BL52" s="195">
        <f>ROUND((B52/(CE76+CF76)*BL76),0)</f>
        <v>47156</v>
      </c>
      <c r="BM52" s="195">
        <f>ROUND((B52/(CE76+CF76)*BM76),0)</f>
        <v>0</v>
      </c>
      <c r="BN52" s="195">
        <f>ROUND((B52/(CE76+CF76)*BN76),0)</f>
        <v>218885</v>
      </c>
      <c r="BO52" s="195">
        <f>ROUND((B52/(CE76+CF76)*BO76),0)</f>
        <v>0</v>
      </c>
      <c r="BP52" s="195">
        <f>ROUND((B52/(CE76+CF76)*BP76),0)</f>
        <v>3938</v>
      </c>
      <c r="BQ52" s="195">
        <f>ROUND((B52/(CE76+CF76)*BQ76),0)</f>
        <v>0</v>
      </c>
      <c r="BR52" s="195">
        <f>ROUND((B52/(CE76+CF76)*BR76),0)</f>
        <v>6702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14924</v>
      </c>
      <c r="BW52" s="195">
        <f>ROUND((B52/(CE76+CF76)*BW76),0)</f>
        <v>40730</v>
      </c>
      <c r="BX52" s="195">
        <f>ROUND((B52/(CE76+CF76)*BX76),0)</f>
        <v>11469</v>
      </c>
      <c r="BY52" s="195">
        <f>ROUND((B52/(CE76+CF76)*BY76),0)</f>
        <v>16548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3386</v>
      </c>
      <c r="CD52" s="195"/>
      <c r="CE52" s="195">
        <f>SUM(C52:CD52)</f>
        <v>2357261</v>
      </c>
    </row>
    <row r="53" spans="1:84" ht="12.65" customHeight="1" x14ac:dyDescent="0.3">
      <c r="A53" s="175" t="s">
        <v>206</v>
      </c>
      <c r="B53" s="195">
        <f>B51+B52</f>
        <v>2357259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23162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f>H59*3</f>
        <v>69486</v>
      </c>
      <c r="AZ59" s="185"/>
      <c r="BA59" s="248"/>
      <c r="BB59" s="248"/>
      <c r="BC59" s="248"/>
      <c r="BD59" s="248"/>
      <c r="BE59" s="185">
        <v>68235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66.53879310344827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2.4209770114942528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3.4961685823754789</v>
      </c>
      <c r="AN60" s="221"/>
      <c r="AO60" s="221"/>
      <c r="AP60" s="221"/>
      <c r="AQ60" s="221"/>
      <c r="AR60" s="221"/>
      <c r="AS60" s="221"/>
      <c r="AT60" s="221"/>
      <c r="AU60" s="221">
        <v>4.2614942528735629</v>
      </c>
      <c r="AV60" s="221"/>
      <c r="AW60" s="221"/>
      <c r="AX60" s="221"/>
      <c r="AY60" s="221">
        <v>6.1700191570881229</v>
      </c>
      <c r="AZ60" s="221"/>
      <c r="BA60" s="221"/>
      <c r="BB60" s="221">
        <f>9.9889846743295+0.841954022988506</f>
        <v>10.830938697318006</v>
      </c>
      <c r="BC60" s="221"/>
      <c r="BD60" s="221">
        <f>1.09674329501916/2</f>
        <v>0.54837164750958001</v>
      </c>
      <c r="BE60" s="221">
        <v>1.9305555555555554</v>
      </c>
      <c r="BF60" s="221">
        <v>4.7562260536398471</v>
      </c>
      <c r="BG60" s="221">
        <f>2.93582375478927+2.70498084291188</f>
        <v>5.6408045977011501</v>
      </c>
      <c r="BH60" s="221">
        <f>0.54837164750958+0.218390804597701</f>
        <v>0.766762452107281</v>
      </c>
      <c r="BI60" s="221">
        <v>2.522509578544061</v>
      </c>
      <c r="BJ60" s="221">
        <v>2.7782567049808429</v>
      </c>
      <c r="BK60" s="221">
        <v>4.9386973180076632</v>
      </c>
      <c r="BL60" s="221">
        <v>10.208812260536398</v>
      </c>
      <c r="BM60" s="221"/>
      <c r="BN60" s="221">
        <v>2.0387931034482758</v>
      </c>
      <c r="BO60" s="221"/>
      <c r="BP60" s="221">
        <v>2.2672413793103448</v>
      </c>
      <c r="BQ60" s="221"/>
      <c r="BR60" s="221">
        <v>2.1197318007662833</v>
      </c>
      <c r="BS60" s="221"/>
      <c r="BT60" s="221"/>
      <c r="BU60" s="221"/>
      <c r="BV60" s="221">
        <v>2.3309386973180075</v>
      </c>
      <c r="BW60" s="221"/>
      <c r="BX60" s="221">
        <v>3.2318007662835249</v>
      </c>
      <c r="BY60" s="221">
        <v>8.3721264367816097</v>
      </c>
      <c r="BZ60" s="221"/>
      <c r="CA60" s="221">
        <v>5.3659003831417627</v>
      </c>
      <c r="CB60" s="221"/>
      <c r="CC60" s="221">
        <v>1.2461685823754789</v>
      </c>
      <c r="CD60" s="249" t="s">
        <v>221</v>
      </c>
      <c r="CE60" s="251">
        <f t="shared" ref="CE60:CE70" si="0">SUM(C60:CD60)</f>
        <v>154.78208812260539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4406441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298042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178227</v>
      </c>
      <c r="AN61" s="185"/>
      <c r="AO61" s="185"/>
      <c r="AP61" s="185"/>
      <c r="AQ61" s="185"/>
      <c r="AR61" s="185"/>
      <c r="AS61" s="185"/>
      <c r="AT61" s="185"/>
      <c r="AU61" s="185">
        <v>272033</v>
      </c>
      <c r="AV61" s="185"/>
      <c r="AW61" s="185"/>
      <c r="AX61" s="185"/>
      <c r="AY61" s="185">
        <v>281132</v>
      </c>
      <c r="AZ61" s="185"/>
      <c r="BA61" s="185"/>
      <c r="BB61" s="185">
        <f>647677+30335</f>
        <v>678012</v>
      </c>
      <c r="BC61" s="185"/>
      <c r="BD61" s="185">
        <f>82217/2</f>
        <v>41108.5</v>
      </c>
      <c r="BE61" s="185">
        <v>111347</v>
      </c>
      <c r="BF61" s="185">
        <v>184036</v>
      </c>
      <c r="BG61" s="185">
        <f>104938+143243</f>
        <v>248181</v>
      </c>
      <c r="BH61" s="185">
        <f>41108.5+15983</f>
        <v>57091.5</v>
      </c>
      <c r="BI61" s="185">
        <v>10809</v>
      </c>
      <c r="BJ61" s="185">
        <v>243072</v>
      </c>
      <c r="BK61" s="185">
        <v>277144</v>
      </c>
      <c r="BL61" s="185">
        <v>757343</v>
      </c>
      <c r="BM61" s="185"/>
      <c r="BN61" s="185">
        <v>288061</v>
      </c>
      <c r="BO61" s="185"/>
      <c r="BP61" s="185">
        <v>185511</v>
      </c>
      <c r="BQ61" s="185"/>
      <c r="BR61" s="185">
        <v>152871</v>
      </c>
      <c r="BS61" s="185"/>
      <c r="BT61" s="185"/>
      <c r="BU61" s="185"/>
      <c r="BV61" s="185">
        <v>128771</v>
      </c>
      <c r="BW61" s="185"/>
      <c r="BX61" s="185">
        <v>237944</v>
      </c>
      <c r="BY61" s="185">
        <v>844961</v>
      </c>
      <c r="BZ61" s="185"/>
      <c r="CA61" s="185">
        <v>341420</v>
      </c>
      <c r="CB61" s="185"/>
      <c r="CC61" s="185">
        <v>107289</v>
      </c>
      <c r="CD61" s="249" t="s">
        <v>221</v>
      </c>
      <c r="CE61" s="195">
        <f t="shared" si="0"/>
        <v>10330847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947246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64070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38313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58479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60435</v>
      </c>
      <c r="AZ62" s="195">
        <f>ROUND(AZ47+AZ48,0)</f>
        <v>0</v>
      </c>
      <c r="BA62" s="195">
        <f>ROUND(BA47+BA48,0)</f>
        <v>0</v>
      </c>
      <c r="BB62" s="195">
        <f t="shared" si="1"/>
        <v>145751</v>
      </c>
      <c r="BC62" s="195">
        <f t="shared" si="1"/>
        <v>0</v>
      </c>
      <c r="BD62" s="195">
        <f t="shared" si="1"/>
        <v>8837</v>
      </c>
      <c r="BE62" s="195">
        <f t="shared" si="1"/>
        <v>23936</v>
      </c>
      <c r="BF62" s="195">
        <f t="shared" si="1"/>
        <v>39562</v>
      </c>
      <c r="BG62" s="195">
        <f t="shared" si="1"/>
        <v>53351</v>
      </c>
      <c r="BH62" s="195">
        <f t="shared" si="1"/>
        <v>12273</v>
      </c>
      <c r="BI62" s="195">
        <f t="shared" si="1"/>
        <v>2324</v>
      </c>
      <c r="BJ62" s="195">
        <f t="shared" si="1"/>
        <v>52253</v>
      </c>
      <c r="BK62" s="195">
        <f t="shared" si="1"/>
        <v>59577</v>
      </c>
      <c r="BL62" s="195">
        <f t="shared" si="1"/>
        <v>162805</v>
      </c>
      <c r="BM62" s="195">
        <f t="shared" si="1"/>
        <v>0</v>
      </c>
      <c r="BN62" s="195">
        <f t="shared" si="1"/>
        <v>61924</v>
      </c>
      <c r="BO62" s="195">
        <f t="shared" ref="BO62:CC62" si="2">ROUND(BO47+BO48,0)</f>
        <v>0</v>
      </c>
      <c r="BP62" s="195">
        <f t="shared" si="2"/>
        <v>39879</v>
      </c>
      <c r="BQ62" s="195">
        <f t="shared" si="2"/>
        <v>0</v>
      </c>
      <c r="BR62" s="195">
        <f t="shared" si="2"/>
        <v>32862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27682</v>
      </c>
      <c r="BW62" s="195">
        <f t="shared" si="2"/>
        <v>0</v>
      </c>
      <c r="BX62" s="195">
        <f t="shared" si="2"/>
        <v>51150</v>
      </c>
      <c r="BY62" s="195">
        <f t="shared" si="2"/>
        <v>181640</v>
      </c>
      <c r="BZ62" s="195">
        <f t="shared" si="2"/>
        <v>0</v>
      </c>
      <c r="CA62" s="195">
        <f t="shared" si="2"/>
        <v>73395</v>
      </c>
      <c r="CB62" s="195">
        <f t="shared" si="2"/>
        <v>0</v>
      </c>
      <c r="CC62" s="195">
        <f t="shared" si="2"/>
        <v>23064</v>
      </c>
      <c r="CD62" s="249" t="s">
        <v>221</v>
      </c>
      <c r="CE62" s="195">
        <f t="shared" si="0"/>
        <v>2220808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3502624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3502624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70525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254575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11459</v>
      </c>
      <c r="AN64" s="185"/>
      <c r="AO64" s="185"/>
      <c r="AP64" s="185"/>
      <c r="AQ64" s="185"/>
      <c r="AR64" s="185"/>
      <c r="AS64" s="185"/>
      <c r="AT64" s="185"/>
      <c r="AU64" s="185">
        <v>8910</v>
      </c>
      <c r="AV64" s="185"/>
      <c r="AW64" s="185"/>
      <c r="AX64" s="185"/>
      <c r="AY64" s="185">
        <v>269808</v>
      </c>
      <c r="AZ64" s="185"/>
      <c r="BA64" s="185"/>
      <c r="BB64" s="185">
        <v>4579</v>
      </c>
      <c r="BC64" s="185"/>
      <c r="BD64" s="185">
        <f>28077+5662+1</f>
        <v>33740</v>
      </c>
      <c r="BE64" s="185">
        <f>1263+9513</f>
        <v>10776</v>
      </c>
      <c r="BF64" s="185">
        <v>38674</v>
      </c>
      <c r="BG64" s="185"/>
      <c r="BH64" s="185">
        <v>13320</v>
      </c>
      <c r="BI64" s="185"/>
      <c r="BJ64" s="185">
        <v>76</v>
      </c>
      <c r="BK64" s="185"/>
      <c r="BL64" s="185">
        <v>593</v>
      </c>
      <c r="BM64" s="185"/>
      <c r="BN64" s="185">
        <v>2119</v>
      </c>
      <c r="BO64" s="185">
        <f>12628+45795</f>
        <v>58423</v>
      </c>
      <c r="BP64" s="185">
        <v>704</v>
      </c>
      <c r="BQ64" s="185"/>
      <c r="BR64" s="185">
        <v>1222</v>
      </c>
      <c r="BS64" s="185"/>
      <c r="BT64" s="185"/>
      <c r="BU64" s="185"/>
      <c r="BV64" s="185">
        <v>9285</v>
      </c>
      <c r="BW64" s="185"/>
      <c r="BX64" s="185">
        <v>131</v>
      </c>
      <c r="BY64" s="185"/>
      <c r="BZ64" s="185"/>
      <c r="CA64" s="185"/>
      <c r="CB64" s="185"/>
      <c r="CC64" s="185"/>
      <c r="CD64" s="249" t="s">
        <v>221</v>
      </c>
      <c r="CE64" s="195">
        <f t="shared" si="0"/>
        <v>788919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14937+143296+1</f>
        <v>158234</v>
      </c>
      <c r="BF65" s="185"/>
      <c r="BG65" s="185"/>
      <c r="BH65" s="185">
        <v>80779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239013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f>23898+42727</f>
        <v>66625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50580</v>
      </c>
      <c r="V66" s="185"/>
      <c r="W66" s="185"/>
      <c r="X66" s="185"/>
      <c r="Y66" s="185"/>
      <c r="Z66" s="185"/>
      <c r="AA66" s="185"/>
      <c r="AB66" s="185">
        <v>93412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303</v>
      </c>
      <c r="AZ66" s="185"/>
      <c r="BA66" s="185">
        <v>64344</v>
      </c>
      <c r="BB66" s="185"/>
      <c r="BC66" s="185">
        <v>30478</v>
      </c>
      <c r="BD66" s="185"/>
      <c r="BE66" s="185">
        <f>148498+21166</f>
        <v>169664</v>
      </c>
      <c r="BF66" s="185"/>
      <c r="BG66" s="185"/>
      <c r="BH66" s="185">
        <f>19085+40879</f>
        <v>59964</v>
      </c>
      <c r="BI66" s="185">
        <v>144086</v>
      </c>
      <c r="BJ66" s="185"/>
      <c r="BK66" s="185">
        <f>41441+71788</f>
        <v>113229</v>
      </c>
      <c r="BL66" s="185"/>
      <c r="BM66" s="185"/>
      <c r="BN66" s="185">
        <f>-272+29006</f>
        <v>28734</v>
      </c>
      <c r="BO66" s="185"/>
      <c r="BP66" s="185">
        <v>26</v>
      </c>
      <c r="BQ66" s="185"/>
      <c r="BR66" s="185"/>
      <c r="BS66" s="185"/>
      <c r="BT66" s="185"/>
      <c r="BU66" s="185"/>
      <c r="BV66" s="185"/>
      <c r="BW66" s="185">
        <v>19013</v>
      </c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840458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936547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2246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26048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898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92549</v>
      </c>
      <c r="AZ67" s="195">
        <f>ROUND(AZ51+AZ52,0)</f>
        <v>67020</v>
      </c>
      <c r="BA67" s="195">
        <f>ROUND(BA51+BA52,0)</f>
        <v>0</v>
      </c>
      <c r="BB67" s="195">
        <f t="shared" si="3"/>
        <v>45221</v>
      </c>
      <c r="BC67" s="195">
        <f t="shared" si="3"/>
        <v>0</v>
      </c>
      <c r="BD67" s="195">
        <f t="shared" si="3"/>
        <v>9984</v>
      </c>
      <c r="BE67" s="195">
        <f t="shared" si="3"/>
        <v>734176</v>
      </c>
      <c r="BF67" s="195">
        <f t="shared" si="3"/>
        <v>44115</v>
      </c>
      <c r="BG67" s="195">
        <f t="shared" si="3"/>
        <v>7911</v>
      </c>
      <c r="BH67" s="195">
        <f t="shared" si="3"/>
        <v>9915</v>
      </c>
      <c r="BI67" s="195">
        <f t="shared" si="3"/>
        <v>0</v>
      </c>
      <c r="BJ67" s="195">
        <f t="shared" si="3"/>
        <v>8291</v>
      </c>
      <c r="BK67" s="195">
        <f t="shared" si="3"/>
        <v>8602</v>
      </c>
      <c r="BL67" s="195">
        <f t="shared" si="3"/>
        <v>47156</v>
      </c>
      <c r="BM67" s="195">
        <f t="shared" si="3"/>
        <v>0</v>
      </c>
      <c r="BN67" s="195">
        <f t="shared" si="3"/>
        <v>218885</v>
      </c>
      <c r="BO67" s="195">
        <f t="shared" si="3"/>
        <v>0</v>
      </c>
      <c r="BP67" s="195">
        <f t="shared" si="3"/>
        <v>3938</v>
      </c>
      <c r="BQ67" s="195">
        <f t="shared" ref="BQ67:CC67" si="4">ROUND(BQ51+BQ52,0)</f>
        <v>0</v>
      </c>
      <c r="BR67" s="195">
        <f t="shared" si="4"/>
        <v>6702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14924</v>
      </c>
      <c r="BW67" s="195">
        <f t="shared" si="4"/>
        <v>40730</v>
      </c>
      <c r="BX67" s="195">
        <f t="shared" si="4"/>
        <v>11469</v>
      </c>
      <c r="BY67" s="195">
        <f t="shared" si="4"/>
        <v>16548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3386</v>
      </c>
      <c r="CD67" s="249" t="s">
        <v>221</v>
      </c>
      <c r="CE67" s="195">
        <f t="shared" si="0"/>
        <v>2357261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1266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902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2168</v>
      </c>
      <c r="CF68" s="252"/>
    </row>
    <row r="69" spans="1:84" ht="12.65" customHeight="1" x14ac:dyDescent="0.3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>
        <f>3511-193</f>
        <v>3318</v>
      </c>
      <c r="BE69" s="185">
        <v>170230</v>
      </c>
      <c r="BF69" s="185"/>
      <c r="BG69" s="185"/>
      <c r="BH69" s="224">
        <f>7331</f>
        <v>7331</v>
      </c>
      <c r="BI69" s="185">
        <f>112860+45245+10798+8679+44388+370718+299612</f>
        <v>892300</v>
      </c>
      <c r="BJ69" s="185">
        <f>4945+7214+1479+3000-24-5805+395.01</f>
        <v>11204.01</v>
      </c>
      <c r="BK69" s="185"/>
      <c r="BL69" s="185"/>
      <c r="BM69" s="185"/>
      <c r="BN69" s="185">
        <f>714719-2</f>
        <v>714717</v>
      </c>
      <c r="BO69" s="185"/>
      <c r="BP69" s="185">
        <v>51808</v>
      </c>
      <c r="BQ69" s="185"/>
      <c r="BR69" s="185">
        <f>48169+8094</f>
        <v>56263</v>
      </c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1907171.01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6428650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52826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736147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228897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339422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704227</v>
      </c>
      <c r="AZ71" s="195">
        <f t="shared" si="6"/>
        <v>67020</v>
      </c>
      <c r="BA71" s="195">
        <f t="shared" si="6"/>
        <v>64344</v>
      </c>
      <c r="BB71" s="195">
        <f t="shared" si="6"/>
        <v>873563</v>
      </c>
      <c r="BC71" s="195">
        <f t="shared" si="6"/>
        <v>30478</v>
      </c>
      <c r="BD71" s="195">
        <f t="shared" si="6"/>
        <v>96987.5</v>
      </c>
      <c r="BE71" s="195">
        <f t="shared" si="6"/>
        <v>1378363</v>
      </c>
      <c r="BF71" s="195">
        <f t="shared" si="6"/>
        <v>306387</v>
      </c>
      <c r="BG71" s="195">
        <f t="shared" si="6"/>
        <v>309443</v>
      </c>
      <c r="BH71" s="195">
        <f t="shared" si="6"/>
        <v>240673.5</v>
      </c>
      <c r="BI71" s="195">
        <f t="shared" si="6"/>
        <v>1049519</v>
      </c>
      <c r="BJ71" s="195">
        <f t="shared" si="6"/>
        <v>314896.01</v>
      </c>
      <c r="BK71" s="195">
        <f t="shared" si="6"/>
        <v>458552</v>
      </c>
      <c r="BL71" s="195">
        <f t="shared" si="6"/>
        <v>967897</v>
      </c>
      <c r="BM71" s="195">
        <f t="shared" si="6"/>
        <v>0</v>
      </c>
      <c r="BN71" s="195">
        <f t="shared" si="6"/>
        <v>1315342</v>
      </c>
      <c r="BO71" s="195">
        <f t="shared" si="6"/>
        <v>58423</v>
      </c>
      <c r="BP71" s="195">
        <f t="shared" ref="BP71:CC71" si="7">SUM(BP61:BP69)-BP70</f>
        <v>281866</v>
      </c>
      <c r="BQ71" s="195">
        <f t="shared" si="7"/>
        <v>0</v>
      </c>
      <c r="BR71" s="195">
        <f t="shared" si="7"/>
        <v>249920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180662</v>
      </c>
      <c r="BW71" s="195">
        <f t="shared" si="7"/>
        <v>3562367</v>
      </c>
      <c r="BX71" s="195">
        <f t="shared" si="7"/>
        <v>300694</v>
      </c>
      <c r="BY71" s="195">
        <f t="shared" si="7"/>
        <v>1043149</v>
      </c>
      <c r="BZ71" s="195">
        <f t="shared" si="7"/>
        <v>0</v>
      </c>
      <c r="CA71" s="195">
        <f t="shared" si="7"/>
        <v>414815</v>
      </c>
      <c r="CB71" s="195">
        <f t="shared" si="7"/>
        <v>0</v>
      </c>
      <c r="CC71" s="195">
        <f t="shared" si="7"/>
        <v>133739</v>
      </c>
      <c r="CD71" s="245">
        <f>CD69-CD70</f>
        <v>0</v>
      </c>
      <c r="CE71" s="195">
        <f>SUM(CE61:CE69)-CE70</f>
        <v>22189269.010000002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23668210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23668210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>
        <v>770490</v>
      </c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770490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24438700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24438700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v>27110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65</v>
      </c>
      <c r="V76" s="185"/>
      <c r="W76" s="185"/>
      <c r="X76" s="185"/>
      <c r="Y76" s="185"/>
      <c r="Z76" s="185"/>
      <c r="AA76" s="185"/>
      <c r="AB76" s="185">
        <v>754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>
        <v>26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2679</v>
      </c>
      <c r="AZ76" s="185">
        <v>1940</v>
      </c>
      <c r="BA76" s="185"/>
      <c r="BB76" s="185">
        <v>1309</v>
      </c>
      <c r="BC76" s="185"/>
      <c r="BD76" s="185">
        <v>289</v>
      </c>
      <c r="BE76" s="185">
        <v>21252</v>
      </c>
      <c r="BF76" s="185">
        <v>1277</v>
      </c>
      <c r="BG76" s="185">
        <v>229</v>
      </c>
      <c r="BH76" s="185">
        <v>287</v>
      </c>
      <c r="BI76" s="185"/>
      <c r="BJ76" s="185">
        <v>240</v>
      </c>
      <c r="BK76" s="185">
        <v>249</v>
      </c>
      <c r="BL76" s="185">
        <v>1365</v>
      </c>
      <c r="BM76" s="185"/>
      <c r="BN76" s="185">
        <v>6336</v>
      </c>
      <c r="BO76" s="185"/>
      <c r="BP76" s="185">
        <v>114</v>
      </c>
      <c r="BQ76" s="185"/>
      <c r="BR76" s="185">
        <v>194</v>
      </c>
      <c r="BS76" s="185"/>
      <c r="BT76" s="185"/>
      <c r="BU76" s="185"/>
      <c r="BV76" s="185">
        <v>432</v>
      </c>
      <c r="BW76" s="185">
        <v>1179</v>
      </c>
      <c r="BX76" s="185">
        <v>332</v>
      </c>
      <c r="BY76" s="185">
        <v>479</v>
      </c>
      <c r="BZ76" s="185"/>
      <c r="CA76" s="185"/>
      <c r="CB76" s="185"/>
      <c r="CC76" s="185">
        <v>98</v>
      </c>
      <c r="CD76" s="249" t="s">
        <v>221</v>
      </c>
      <c r="CE76" s="195">
        <f t="shared" si="8"/>
        <v>68235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>
        <f>AY59</f>
        <v>69486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69486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>
        <f>BF60/1.1*2080</f>
        <v>8993.5910832462559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8993.5910832462559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>
        <f>3.34*23162</f>
        <v>77361.08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77361.08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66.53879310344827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66.53879310344827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1276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2027</v>
      </c>
      <c r="D111" s="174">
        <v>23162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100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100</v>
      </c>
    </row>
    <row r="128" spans="1:5" ht="12.65" customHeight="1" x14ac:dyDescent="0.3">
      <c r="A128" s="173" t="s">
        <v>292</v>
      </c>
      <c r="B128" s="172" t="s">
        <v>256</v>
      </c>
      <c r="C128" s="189">
        <v>100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272</v>
      </c>
      <c r="C138" s="189">
        <v>92</v>
      </c>
      <c r="D138" s="174">
        <f>2027-C138-B138</f>
        <v>1663</v>
      </c>
      <c r="E138" s="175">
        <f>SUM(B138:D138)</f>
        <v>2027</v>
      </c>
    </row>
    <row r="139" spans="1:6" ht="12.65" customHeight="1" x14ac:dyDescent="0.3">
      <c r="A139" s="173" t="s">
        <v>215</v>
      </c>
      <c r="B139" s="174">
        <f>4752</f>
        <v>4752</v>
      </c>
      <c r="C139" s="189">
        <v>907</v>
      </c>
      <c r="D139" s="174">
        <f>23162-C139-B139</f>
        <v>17503</v>
      </c>
      <c r="E139" s="175">
        <f>SUM(B139:D139)</f>
        <v>23162</v>
      </c>
    </row>
    <row r="140" spans="1:6" ht="12.65" customHeight="1" x14ac:dyDescent="0.3">
      <c r="A140" s="173" t="s">
        <v>298</v>
      </c>
      <c r="B140" s="174">
        <v>413</v>
      </c>
      <c r="C140" s="174">
        <v>0</v>
      </c>
      <c r="D140" s="174">
        <f>2336-413</f>
        <v>1923</v>
      </c>
      <c r="E140" s="175">
        <f>SUM(B140:D140)</f>
        <v>2336</v>
      </c>
    </row>
    <row r="141" spans="1:6" ht="12.65" customHeight="1" x14ac:dyDescent="0.3">
      <c r="A141" s="173" t="s">
        <v>245</v>
      </c>
      <c r="B141" s="174">
        <v>4220998</v>
      </c>
      <c r="C141" s="189">
        <v>582106</v>
      </c>
      <c r="D141" s="174">
        <f>23668210-C141-B141</f>
        <v>18865106</v>
      </c>
      <c r="E141" s="175">
        <f>SUM(B141:D141)</f>
        <v>23668210</v>
      </c>
      <c r="F141" s="199"/>
    </row>
    <row r="142" spans="1:6" ht="12.65" customHeight="1" x14ac:dyDescent="0.3">
      <c r="A142" s="173" t="s">
        <v>246</v>
      </c>
      <c r="B142" s="174">
        <v>96222</v>
      </c>
      <c r="C142" s="189">
        <v>0</v>
      </c>
      <c r="D142" s="174">
        <f>770490-B142</f>
        <v>674268</v>
      </c>
      <c r="E142" s="175">
        <f>SUM(B142:D142)</f>
        <v>770490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4" customHeight="1" x14ac:dyDescent="0.3">
      <c r="A163" s="207" t="s">
        <v>305</v>
      </c>
      <c r="B163" s="208"/>
      <c r="C163" s="208"/>
      <c r="D163" s="208"/>
      <c r="E163" s="208"/>
    </row>
    <row r="164" spans="1:5" ht="11.4" customHeight="1" x14ac:dyDescent="0.3">
      <c r="A164" s="257" t="s">
        <v>306</v>
      </c>
      <c r="B164" s="257"/>
      <c r="C164" s="257"/>
      <c r="D164" s="257"/>
      <c r="E164" s="257"/>
    </row>
    <row r="165" spans="1:5" ht="11.4" customHeight="1" x14ac:dyDescent="0.3">
      <c r="A165" s="173" t="s">
        <v>307</v>
      </c>
      <c r="B165" s="172" t="s">
        <v>256</v>
      </c>
      <c r="C165" s="189">
        <v>868440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9">
        <f>12717+46333</f>
        <v>59050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9">
        <v>412304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9">
        <f>704064-312718-60547-7080</f>
        <v>323719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9">
        <f>25782+10483</f>
        <v>36265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9">
        <f>142065+832</f>
        <v>142897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9">
        <f>2220806-1842675</f>
        <v>378131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">
      <c r="A173" s="173" t="s">
        <v>203</v>
      </c>
      <c r="B173" s="175"/>
      <c r="C173" s="191"/>
      <c r="D173" s="175">
        <f>SUM(C165:C172)</f>
        <v>2220806</v>
      </c>
      <c r="E173" s="175"/>
    </row>
    <row r="174" spans="1:5" ht="11.4" customHeight="1" x14ac:dyDescent="0.3">
      <c r="A174" s="257" t="s">
        <v>314</v>
      </c>
      <c r="B174" s="257"/>
      <c r="C174" s="257"/>
      <c r="D174" s="257"/>
      <c r="E174" s="257"/>
    </row>
    <row r="175" spans="1:5" ht="11.4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9">
        <v>2168</v>
      </c>
      <c r="D176" s="175"/>
      <c r="E176" s="175"/>
    </row>
    <row r="177" spans="1:5" ht="11.4" customHeight="1" x14ac:dyDescent="0.3">
      <c r="A177" s="173" t="s">
        <v>203</v>
      </c>
      <c r="B177" s="175"/>
      <c r="C177" s="191"/>
      <c r="D177" s="175">
        <f>SUM(C175:C176)</f>
        <v>2168</v>
      </c>
      <c r="E177" s="175"/>
    </row>
    <row r="178" spans="1:5" ht="11.4" customHeight="1" x14ac:dyDescent="0.3">
      <c r="A178" s="257" t="s">
        <v>317</v>
      </c>
      <c r="B178" s="257"/>
      <c r="C178" s="257"/>
      <c r="D178" s="257"/>
      <c r="E178" s="257"/>
    </row>
    <row r="179" spans="1:5" ht="11.4" customHeight="1" x14ac:dyDescent="0.3">
      <c r="A179" s="173" t="s">
        <v>318</v>
      </c>
      <c r="B179" s="172" t="s">
        <v>256</v>
      </c>
      <c r="C179" s="189">
        <f>53209+18696+1</f>
        <v>71906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9">
        <f>37241+3713</f>
        <v>40954</v>
      </c>
      <c r="D180" s="175"/>
      <c r="E180" s="175"/>
    </row>
    <row r="181" spans="1:5" ht="11.4" customHeight="1" x14ac:dyDescent="0.3">
      <c r="A181" s="173" t="s">
        <v>203</v>
      </c>
      <c r="B181" s="175"/>
      <c r="C181" s="191"/>
      <c r="D181" s="175">
        <f>SUM(C179:C180)</f>
        <v>112860</v>
      </c>
      <c r="E181" s="175"/>
    </row>
    <row r="182" spans="1:5" ht="11.4" customHeight="1" x14ac:dyDescent="0.3">
      <c r="A182" s="257" t="s">
        <v>320</v>
      </c>
      <c r="B182" s="257"/>
      <c r="C182" s="257"/>
      <c r="D182" s="257"/>
      <c r="E182" s="257"/>
    </row>
    <row r="183" spans="1:5" ht="11.4" customHeight="1" x14ac:dyDescent="0.3">
      <c r="A183" s="173" t="s">
        <v>321</v>
      </c>
      <c r="B183" s="172" t="s">
        <v>256</v>
      </c>
      <c r="C183" s="189">
        <v>45867</v>
      </c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9">
        <v>670330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">
      <c r="A186" s="173" t="s">
        <v>203</v>
      </c>
      <c r="B186" s="175"/>
      <c r="C186" s="191"/>
      <c r="D186" s="175">
        <f>SUM(C183:C185)</f>
        <v>716197</v>
      </c>
      <c r="E186" s="175"/>
    </row>
    <row r="187" spans="1:5" ht="11.4" customHeight="1" x14ac:dyDescent="0.3">
      <c r="A187" s="257" t="s">
        <v>323</v>
      </c>
      <c r="B187" s="257"/>
      <c r="C187" s="257"/>
      <c r="D187" s="257"/>
      <c r="E187" s="257"/>
    </row>
    <row r="188" spans="1:5" ht="11.4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4759217</v>
      </c>
      <c r="C195" s="189">
        <v>0</v>
      </c>
      <c r="D195" s="174"/>
      <c r="E195" s="175">
        <f t="shared" ref="E195:E203" si="10">SUM(B195:C195)-D195</f>
        <v>4759217</v>
      </c>
    </row>
    <row r="196" spans="1:8" ht="12.65" customHeight="1" x14ac:dyDescent="0.3">
      <c r="A196" s="173" t="s">
        <v>333</v>
      </c>
      <c r="B196" s="174">
        <v>1099025</v>
      </c>
      <c r="C196" s="189">
        <v>55011</v>
      </c>
      <c r="D196" s="174"/>
      <c r="E196" s="175">
        <f t="shared" si="10"/>
        <v>1154036</v>
      </c>
    </row>
    <row r="197" spans="1:8" ht="12.65" customHeight="1" x14ac:dyDescent="0.3">
      <c r="A197" s="173" t="s">
        <v>334</v>
      </c>
      <c r="B197" s="174">
        <v>32290938</v>
      </c>
      <c r="C197" s="189">
        <v>243461</v>
      </c>
      <c r="D197" s="174"/>
      <c r="E197" s="175">
        <f t="shared" si="10"/>
        <v>32534399</v>
      </c>
    </row>
    <row r="198" spans="1:8" ht="12.65" customHeight="1" x14ac:dyDescent="0.3">
      <c r="A198" s="173" t="s">
        <v>335</v>
      </c>
      <c r="B198" s="174">
        <v>2048380</v>
      </c>
      <c r="C198" s="189">
        <v>4284</v>
      </c>
      <c r="D198" s="174"/>
      <c r="E198" s="175">
        <f t="shared" si="10"/>
        <v>2052664</v>
      </c>
    </row>
    <row r="199" spans="1:8" ht="12.65" customHeight="1" x14ac:dyDescent="0.3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1617467</v>
      </c>
      <c r="C200" s="189">
        <f>539366+27351-1</f>
        <v>566716</v>
      </c>
      <c r="D200" s="174">
        <v>4787</v>
      </c>
      <c r="E200" s="175">
        <f t="shared" si="10"/>
        <v>2179396</v>
      </c>
    </row>
    <row r="201" spans="1:8" ht="12.65" customHeight="1" x14ac:dyDescent="0.3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-7181</v>
      </c>
      <c r="C203" s="189">
        <v>7181</v>
      </c>
      <c r="D203" s="174"/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41807846</v>
      </c>
      <c r="C204" s="191">
        <f>SUM(C195:C203)</f>
        <v>876653</v>
      </c>
      <c r="D204" s="175">
        <f>SUM(D195:D203)</f>
        <v>4787</v>
      </c>
      <c r="E204" s="175">
        <f>SUM(E195:E203)</f>
        <v>42679712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91585.46</v>
      </c>
      <c r="C209" s="189">
        <v>81520</v>
      </c>
      <c r="D209" s="174"/>
      <c r="E209" s="175">
        <f t="shared" ref="E209:E216" si="11">SUM(B209:C209)-D209</f>
        <v>173105.46000000002</v>
      </c>
      <c r="H209" s="259"/>
    </row>
    <row r="210" spans="1:8" ht="12.65" customHeight="1" x14ac:dyDescent="0.3">
      <c r="A210" s="173" t="s">
        <v>334</v>
      </c>
      <c r="B210" s="174">
        <v>1636498.71</v>
      </c>
      <c r="C210" s="189">
        <v>1333989</v>
      </c>
      <c r="D210" s="174"/>
      <c r="E210" s="175">
        <f t="shared" si="11"/>
        <v>2970487.71</v>
      </c>
      <c r="H210" s="259"/>
    </row>
    <row r="211" spans="1:8" ht="12.65" customHeight="1" x14ac:dyDescent="0.3">
      <c r="A211" s="173" t="s">
        <v>335</v>
      </c>
      <c r="B211" s="174">
        <v>490100.17</v>
      </c>
      <c r="C211" s="189">
        <v>393548</v>
      </c>
      <c r="D211" s="174"/>
      <c r="E211" s="175">
        <f t="shared" si="11"/>
        <v>883648.16999999993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447524.61</v>
      </c>
      <c r="C213" s="189">
        <f>517797+1</f>
        <v>517798</v>
      </c>
      <c r="D213" s="174">
        <v>1277</v>
      </c>
      <c r="E213" s="175">
        <f t="shared" si="11"/>
        <v>964045.61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2665708.9499999997</v>
      </c>
      <c r="C217" s="191">
        <f>SUM(C208:C216)</f>
        <v>2326855</v>
      </c>
      <c r="D217" s="175">
        <f>SUM(D208:D216)</f>
        <v>1277</v>
      </c>
      <c r="E217" s="175">
        <f>SUM(E208:E216)</f>
        <v>4991286.95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774221</v>
      </c>
      <c r="D221" s="172">
        <f>C221</f>
        <v>774221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4485580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1050494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f>2766667+8921291</f>
        <v>11687958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f>833008+1286644</f>
        <v>2119652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f>3923780-C233-C234-C238-C239</f>
        <v>3320029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22663713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228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448265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38277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486542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f>294953-183238+5494</f>
        <v>117209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117209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24041685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5" customHeight="1" x14ac:dyDescent="0.3">
      <c r="A250" s="173" t="s">
        <v>362</v>
      </c>
      <c r="B250" s="172" t="s">
        <v>256</v>
      </c>
      <c r="C250" s="189">
        <v>-164329</v>
      </c>
      <c r="D250" s="175"/>
      <c r="E250" s="175"/>
    </row>
    <row r="251" spans="1:5" ht="12.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5" customHeight="1" x14ac:dyDescent="0.3">
      <c r="A252" s="173" t="s">
        <v>364</v>
      </c>
      <c r="B252" s="172" t="s">
        <v>256</v>
      </c>
      <c r="C252" s="189">
        <f>8414895-7709+9800</f>
        <v>8416986</v>
      </c>
      <c r="D252" s="175"/>
      <c r="E252" s="175"/>
    </row>
    <row r="253" spans="1:5" ht="12.5" customHeight="1" x14ac:dyDescent="0.3">
      <c r="A253" s="173" t="s">
        <v>365</v>
      </c>
      <c r="B253" s="172" t="s">
        <v>256</v>
      </c>
      <c r="C253" s="189">
        <f>1393284+316521+306915+718+1621176</f>
        <v>3638614</v>
      </c>
      <c r="D253" s="175"/>
      <c r="E253" s="175"/>
    </row>
    <row r="254" spans="1:5" ht="12.5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5" customHeight="1" x14ac:dyDescent="0.3">
      <c r="A257" s="173" t="s">
        <v>368</v>
      </c>
      <c r="B257" s="172" t="s">
        <v>256</v>
      </c>
      <c r="C257" s="189">
        <v>120521</v>
      </c>
      <c r="D257" s="175"/>
      <c r="E257" s="175"/>
    </row>
    <row r="258" spans="1:5" ht="12.5" customHeight="1" x14ac:dyDescent="0.3">
      <c r="A258" s="173" t="s">
        <v>369</v>
      </c>
      <c r="B258" s="172" t="s">
        <v>256</v>
      </c>
      <c r="C258" s="189">
        <v>56399</v>
      </c>
      <c r="D258" s="175"/>
      <c r="E258" s="175"/>
    </row>
    <row r="259" spans="1:5" ht="12.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5" customHeight="1" x14ac:dyDescent="0.3">
      <c r="A260" s="173" t="s">
        <v>371</v>
      </c>
      <c r="B260" s="175"/>
      <c r="C260" s="191"/>
      <c r="D260" s="175">
        <f>SUM(C250:C252)-C253+SUM(C254:C259)</f>
        <v>4790963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5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5" customHeight="1" x14ac:dyDescent="0.3">
      <c r="A267" s="173" t="s">
        <v>332</v>
      </c>
      <c r="B267" s="172" t="s">
        <v>256</v>
      </c>
      <c r="C267" s="189">
        <f>E195</f>
        <v>4759217</v>
      </c>
      <c r="D267" s="175"/>
      <c r="E267" s="175"/>
    </row>
    <row r="268" spans="1:5" ht="12.5" customHeight="1" x14ac:dyDescent="0.3">
      <c r="A268" s="173" t="s">
        <v>333</v>
      </c>
      <c r="B268" s="172" t="s">
        <v>256</v>
      </c>
      <c r="C268" s="189">
        <f t="shared" ref="C268:C274" si="12">E196</f>
        <v>1154036</v>
      </c>
      <c r="D268" s="175"/>
      <c r="E268" s="175"/>
    </row>
    <row r="269" spans="1:5" ht="12.5" customHeight="1" x14ac:dyDescent="0.3">
      <c r="A269" s="173" t="s">
        <v>334</v>
      </c>
      <c r="B269" s="172" t="s">
        <v>256</v>
      </c>
      <c r="C269" s="189">
        <f t="shared" si="12"/>
        <v>32534399</v>
      </c>
      <c r="D269" s="175"/>
      <c r="E269" s="175"/>
    </row>
    <row r="270" spans="1:5" ht="12.5" customHeight="1" x14ac:dyDescent="0.3">
      <c r="A270" s="173" t="s">
        <v>376</v>
      </c>
      <c r="B270" s="172" t="s">
        <v>256</v>
      </c>
      <c r="C270" s="189">
        <f t="shared" si="12"/>
        <v>2052664</v>
      </c>
      <c r="D270" s="175"/>
      <c r="E270" s="175"/>
    </row>
    <row r="271" spans="1:5" ht="12.5" customHeight="1" x14ac:dyDescent="0.3">
      <c r="A271" s="173" t="s">
        <v>377</v>
      </c>
      <c r="B271" s="172" t="s">
        <v>256</v>
      </c>
      <c r="C271" s="189">
        <f t="shared" si="12"/>
        <v>0</v>
      </c>
      <c r="D271" s="175"/>
      <c r="E271" s="175"/>
    </row>
    <row r="272" spans="1:5" ht="12.5" customHeight="1" x14ac:dyDescent="0.3">
      <c r="A272" s="173" t="s">
        <v>378</v>
      </c>
      <c r="B272" s="172" t="s">
        <v>256</v>
      </c>
      <c r="C272" s="189">
        <f t="shared" si="12"/>
        <v>2179396</v>
      </c>
      <c r="D272" s="175"/>
      <c r="E272" s="175"/>
    </row>
    <row r="273" spans="1:5" ht="12.5" customHeight="1" x14ac:dyDescent="0.3">
      <c r="A273" s="173" t="s">
        <v>339</v>
      </c>
      <c r="B273" s="172" t="s">
        <v>256</v>
      </c>
      <c r="C273" s="189">
        <f t="shared" si="12"/>
        <v>0</v>
      </c>
      <c r="D273" s="175"/>
      <c r="E273" s="175"/>
    </row>
    <row r="274" spans="1:5" ht="12.5" customHeight="1" x14ac:dyDescent="0.3">
      <c r="A274" s="173" t="s">
        <v>340</v>
      </c>
      <c r="B274" s="172" t="s">
        <v>256</v>
      </c>
      <c r="C274" s="189">
        <f t="shared" si="12"/>
        <v>0</v>
      </c>
      <c r="D274" s="175"/>
      <c r="E274" s="175"/>
    </row>
    <row r="275" spans="1:5" ht="12.5" customHeight="1" x14ac:dyDescent="0.3">
      <c r="A275" s="173" t="s">
        <v>379</v>
      </c>
      <c r="B275" s="175"/>
      <c r="C275" s="191"/>
      <c r="D275" s="175">
        <f>SUM(C267:C274)</f>
        <v>42679712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f>E217</f>
        <v>4991286.95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37688425.049999997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12356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12356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42491744.049999997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5000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f>1094439+564936</f>
        <v>1659375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f>315578-4258</f>
        <v>311320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1975695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131806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131806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131806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189">
        <f>35565633+8616248</f>
        <v>44181881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f>-5433133+1635494+1</f>
        <v>-3797638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42491744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42491744.049999997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46294164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1412000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47706164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f>C221</f>
        <v>774221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D229</f>
        <v>22663713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f>D236</f>
        <v>486542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f>D240</f>
        <v>117209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24041685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23664479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163749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163749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23828228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f>CE61</f>
        <v>10330847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f>B48</f>
        <v>2220806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f t="shared" ref="C380:C385" si="13">CE63</f>
        <v>3502624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f t="shared" si="13"/>
        <v>788919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f t="shared" si="13"/>
        <v>239013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 t="shared" si="13"/>
        <v>840458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f t="shared" si="13"/>
        <v>2357261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f t="shared" si="13"/>
        <v>2168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112860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716197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2717075-1635494</f>
        <v>1081581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22192734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1635494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1635494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1635494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Inland Northwest Behavioral Health   H-0     FYE 12/31/2020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2027</v>
      </c>
      <c r="C414" s="194">
        <f>E138</f>
        <v>2027</v>
      </c>
      <c r="D414" s="179"/>
    </row>
    <row r="415" spans="1:5" ht="12.65" customHeight="1" x14ac:dyDescent="0.3">
      <c r="A415" s="179" t="s">
        <v>464</v>
      </c>
      <c r="B415" s="179">
        <f>D111</f>
        <v>23162</v>
      </c>
      <c r="C415" s="179">
        <f>E139</f>
        <v>23162</v>
      </c>
      <c r="D415" s="194">
        <f>SUM(C59:H59)+N59</f>
        <v>23162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4">C378</f>
        <v>10330847</v>
      </c>
      <c r="C427" s="179">
        <f t="shared" ref="C427:C434" si="15">CE61</f>
        <v>10330847</v>
      </c>
      <c r="D427" s="179"/>
    </row>
    <row r="428" spans="1:7" ht="12.65" customHeight="1" x14ac:dyDescent="0.3">
      <c r="A428" s="179" t="s">
        <v>3</v>
      </c>
      <c r="B428" s="179">
        <f t="shared" si="14"/>
        <v>2220806</v>
      </c>
      <c r="C428" s="179">
        <f t="shared" si="15"/>
        <v>2220808</v>
      </c>
      <c r="D428" s="179">
        <f>D173</f>
        <v>2220806</v>
      </c>
    </row>
    <row r="429" spans="1:7" ht="12.65" customHeight="1" x14ac:dyDescent="0.3">
      <c r="A429" s="179" t="s">
        <v>236</v>
      </c>
      <c r="B429" s="179">
        <f t="shared" si="14"/>
        <v>3502624</v>
      </c>
      <c r="C429" s="179">
        <f t="shared" si="15"/>
        <v>3502624</v>
      </c>
      <c r="D429" s="179"/>
    </row>
    <row r="430" spans="1:7" ht="12.65" customHeight="1" x14ac:dyDescent="0.3">
      <c r="A430" s="179" t="s">
        <v>237</v>
      </c>
      <c r="B430" s="179">
        <f t="shared" si="14"/>
        <v>788919</v>
      </c>
      <c r="C430" s="179">
        <f t="shared" si="15"/>
        <v>788919</v>
      </c>
      <c r="D430" s="179"/>
    </row>
    <row r="431" spans="1:7" ht="12.65" customHeight="1" x14ac:dyDescent="0.3">
      <c r="A431" s="179" t="s">
        <v>444</v>
      </c>
      <c r="B431" s="179">
        <f t="shared" si="14"/>
        <v>239013</v>
      </c>
      <c r="C431" s="179">
        <f t="shared" si="15"/>
        <v>239013</v>
      </c>
      <c r="D431" s="179"/>
    </row>
    <row r="432" spans="1:7" ht="12.65" customHeight="1" x14ac:dyDescent="0.3">
      <c r="A432" s="179" t="s">
        <v>445</v>
      </c>
      <c r="B432" s="179">
        <f t="shared" si="14"/>
        <v>840458</v>
      </c>
      <c r="C432" s="179">
        <f t="shared" si="15"/>
        <v>840458</v>
      </c>
      <c r="D432" s="179"/>
    </row>
    <row r="433" spans="1:7" ht="12.65" customHeight="1" x14ac:dyDescent="0.3">
      <c r="A433" s="179" t="s">
        <v>6</v>
      </c>
      <c r="B433" s="179">
        <f t="shared" si="14"/>
        <v>2357261</v>
      </c>
      <c r="C433" s="179">
        <f t="shared" si="15"/>
        <v>2357261</v>
      </c>
      <c r="D433" s="179">
        <f>C217</f>
        <v>2326855</v>
      </c>
    </row>
    <row r="434" spans="1:7" ht="12.65" customHeight="1" x14ac:dyDescent="0.3">
      <c r="A434" s="179" t="s">
        <v>474</v>
      </c>
      <c r="B434" s="179">
        <f t="shared" si="14"/>
        <v>2168</v>
      </c>
      <c r="C434" s="179">
        <f t="shared" si="15"/>
        <v>2168</v>
      </c>
      <c r="D434" s="179">
        <f>D177</f>
        <v>2168</v>
      </c>
    </row>
    <row r="435" spans="1:7" ht="12.65" customHeight="1" x14ac:dyDescent="0.3">
      <c r="A435" s="179" t="s">
        <v>447</v>
      </c>
      <c r="B435" s="179">
        <f t="shared" si="14"/>
        <v>112860</v>
      </c>
      <c r="C435" s="179"/>
      <c r="D435" s="179">
        <f>D181</f>
        <v>112860</v>
      </c>
    </row>
    <row r="436" spans="1:7" ht="12.65" customHeight="1" x14ac:dyDescent="0.3">
      <c r="A436" s="179" t="s">
        <v>475</v>
      </c>
      <c r="B436" s="179">
        <f t="shared" si="14"/>
        <v>716197</v>
      </c>
      <c r="C436" s="179"/>
      <c r="D436" s="179">
        <f>D186</f>
        <v>716197</v>
      </c>
    </row>
    <row r="437" spans="1:7" ht="12.65" customHeight="1" x14ac:dyDescent="0.3">
      <c r="A437" s="194" t="s">
        <v>449</v>
      </c>
      <c r="B437" s="194">
        <f t="shared" si="14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829057</v>
      </c>
      <c r="C438" s="194">
        <f>CD69</f>
        <v>0</v>
      </c>
      <c r="D438" s="194">
        <f>D181+D186+D190</f>
        <v>829057</v>
      </c>
    </row>
    <row r="439" spans="1:7" ht="12.65" customHeight="1" x14ac:dyDescent="0.3">
      <c r="A439" s="179" t="s">
        <v>451</v>
      </c>
      <c r="B439" s="194">
        <f>C389</f>
        <v>1081581</v>
      </c>
      <c r="C439" s="194">
        <f>SUM(C69:CC69)</f>
        <v>1907171.01</v>
      </c>
      <c r="D439" s="179"/>
    </row>
    <row r="440" spans="1:7" ht="12.65" customHeight="1" x14ac:dyDescent="0.3">
      <c r="A440" s="179" t="s">
        <v>477</v>
      </c>
      <c r="B440" s="194">
        <f>B438+B439</f>
        <v>1910638</v>
      </c>
      <c r="C440" s="194">
        <f>CE69</f>
        <v>1907171.01</v>
      </c>
      <c r="D440" s="179"/>
    </row>
    <row r="441" spans="1:7" ht="12.65" customHeight="1" x14ac:dyDescent="0.3">
      <c r="A441" s="179" t="s">
        <v>478</v>
      </c>
      <c r="B441" s="179">
        <f>D390</f>
        <v>22192734</v>
      </c>
      <c r="C441" s="179">
        <f>SUM(C427:C437)+C440</f>
        <v>22189269.010000002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774221</v>
      </c>
      <c r="C444" s="179">
        <f>C363</f>
        <v>774221</v>
      </c>
      <c r="D444" s="179"/>
    </row>
    <row r="445" spans="1:7" ht="12.65" customHeight="1" x14ac:dyDescent="0.3">
      <c r="A445" s="179" t="s">
        <v>343</v>
      </c>
      <c r="B445" s="179">
        <f>D229</f>
        <v>22663713</v>
      </c>
      <c r="C445" s="179">
        <f>C364</f>
        <v>22663713</v>
      </c>
      <c r="D445" s="179"/>
    </row>
    <row r="446" spans="1:7" ht="12.65" customHeight="1" x14ac:dyDescent="0.3">
      <c r="A446" s="179" t="s">
        <v>351</v>
      </c>
      <c r="B446" s="179">
        <f>D236</f>
        <v>486542</v>
      </c>
      <c r="C446" s="179">
        <f>C365</f>
        <v>486542</v>
      </c>
      <c r="D446" s="179"/>
    </row>
    <row r="447" spans="1:7" ht="12.65" customHeight="1" x14ac:dyDescent="0.3">
      <c r="A447" s="179" t="s">
        <v>356</v>
      </c>
      <c r="B447" s="179">
        <f>D240</f>
        <v>117209</v>
      </c>
      <c r="C447" s="179">
        <f>C366</f>
        <v>117209</v>
      </c>
      <c r="D447" s="179"/>
    </row>
    <row r="448" spans="1:7" ht="12.65" customHeight="1" x14ac:dyDescent="0.3">
      <c r="A448" s="179" t="s">
        <v>358</v>
      </c>
      <c r="B448" s="179">
        <f>D242</f>
        <v>24041685</v>
      </c>
      <c r="C448" s="179">
        <f>D367</f>
        <v>24041685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228</v>
      </c>
    </row>
    <row r="454" spans="1:7" ht="12.65" customHeight="1" x14ac:dyDescent="0.3">
      <c r="A454" s="179" t="s">
        <v>168</v>
      </c>
      <c r="B454" s="179">
        <f>C233</f>
        <v>448265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38277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163749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46294164</v>
      </c>
      <c r="C463" s="194">
        <f>CE73</f>
        <v>23668210</v>
      </c>
      <c r="D463" s="194">
        <f>E141+E147+E153</f>
        <v>23668210</v>
      </c>
    </row>
    <row r="464" spans="1:7" ht="12.65" customHeight="1" x14ac:dyDescent="0.3">
      <c r="A464" s="179" t="s">
        <v>246</v>
      </c>
      <c r="B464" s="194">
        <f>C360</f>
        <v>1412000</v>
      </c>
      <c r="C464" s="194">
        <f>CE74</f>
        <v>770490</v>
      </c>
      <c r="D464" s="194">
        <f>E142+E148+E154</f>
        <v>770490</v>
      </c>
    </row>
    <row r="465" spans="1:7" ht="12.65" customHeight="1" x14ac:dyDescent="0.3">
      <c r="A465" s="179" t="s">
        <v>247</v>
      </c>
      <c r="B465" s="194">
        <f>D361</f>
        <v>47706164</v>
      </c>
      <c r="C465" s="194">
        <f>CE75</f>
        <v>24438700</v>
      </c>
      <c r="D465" s="194">
        <f>D463+D464</f>
        <v>24438700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6">C267</f>
        <v>4759217</v>
      </c>
      <c r="C468" s="179">
        <f>E195</f>
        <v>4759217</v>
      </c>
      <c r="D468" s="179"/>
    </row>
    <row r="469" spans="1:7" ht="12.65" customHeight="1" x14ac:dyDescent="0.3">
      <c r="A469" s="179" t="s">
        <v>333</v>
      </c>
      <c r="B469" s="179">
        <f t="shared" si="16"/>
        <v>1154036</v>
      </c>
      <c r="C469" s="179">
        <f>E196</f>
        <v>1154036</v>
      </c>
      <c r="D469" s="179"/>
    </row>
    <row r="470" spans="1:7" ht="12.65" customHeight="1" x14ac:dyDescent="0.3">
      <c r="A470" s="179" t="s">
        <v>334</v>
      </c>
      <c r="B470" s="179">
        <f t="shared" si="16"/>
        <v>32534399</v>
      </c>
      <c r="C470" s="179">
        <f>E197</f>
        <v>32534399</v>
      </c>
      <c r="D470" s="179"/>
    </row>
    <row r="471" spans="1:7" ht="12.65" customHeight="1" x14ac:dyDescent="0.3">
      <c r="A471" s="179" t="s">
        <v>494</v>
      </c>
      <c r="B471" s="179">
        <f t="shared" si="16"/>
        <v>2052664</v>
      </c>
      <c r="C471" s="179">
        <f>E198</f>
        <v>2052664</v>
      </c>
      <c r="D471" s="179"/>
    </row>
    <row r="472" spans="1:7" ht="12.65" customHeight="1" x14ac:dyDescent="0.3">
      <c r="A472" s="179" t="s">
        <v>377</v>
      </c>
      <c r="B472" s="179">
        <f t="shared" si="16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6"/>
        <v>2179396</v>
      </c>
      <c r="C473" s="179">
        <f>SUM(E200:E201)</f>
        <v>2179396</v>
      </c>
      <c r="D473" s="179"/>
    </row>
    <row r="474" spans="1:7" ht="12.65" customHeight="1" x14ac:dyDescent="0.3">
      <c r="A474" s="179" t="s">
        <v>339</v>
      </c>
      <c r="B474" s="179">
        <f t="shared" si="16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42679712</v>
      </c>
      <c r="C476" s="179">
        <f>E204</f>
        <v>42679712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4991286.95</v>
      </c>
      <c r="C478" s="179">
        <f>E217</f>
        <v>4991286.95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42491744.049999997</v>
      </c>
    </row>
    <row r="482" spans="1:12" ht="12.65" customHeight="1" x14ac:dyDescent="0.3">
      <c r="A482" s="180" t="s">
        <v>499</v>
      </c>
      <c r="C482" s="180">
        <f>D339</f>
        <v>42491744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926</v>
      </c>
      <c r="B493" s="261" t="e">
        <f>RIGHT(#REF!,4)</f>
        <v>#REF!</v>
      </c>
      <c r="C493" s="261" t="str">
        <f>RIGHT(C82,4)</f>
        <v>2020</v>
      </c>
      <c r="D493" s="261" t="e">
        <f>RIGHT(#REF!,4)</f>
        <v>#REF!</v>
      </c>
      <c r="E493" s="261" t="str">
        <f>RIGHT(C82,4)</f>
        <v>2020</v>
      </c>
      <c r="F493" s="261" t="e">
        <f>RIGHT(#REF!,4)</f>
        <v>#REF!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 t="e">
        <f>#REF!</f>
        <v>#REF!</v>
      </c>
      <c r="C496" s="240">
        <f>C71</f>
        <v>0</v>
      </c>
      <c r="D496" s="240" t="e">
        <f>#REF!</f>
        <v>#REF!</v>
      </c>
      <c r="E496" s="180">
        <f>C59</f>
        <v>0</v>
      </c>
      <c r="F496" s="263" t="e">
        <f t="shared" ref="F496:G511" si="17">IF(B496=0,"",IF(D496=0,"",B496/D496))</f>
        <v>#REF!</v>
      </c>
      <c r="G496" s="264" t="str">
        <f t="shared" si="17"/>
        <v/>
      </c>
      <c r="H496" s="265" t="e">
        <f>IF(B496=0,"",IF(C496=0,"",IF(D496=0,"",IF(E496=0,"",IF(G496/F496-1&lt;-0.25,G496/F496-1,IF(G496/F496-1&gt;0.25,G496/F496-1,""))))))</f>
        <v>#REF!</v>
      </c>
      <c r="I496" s="267"/>
      <c r="K496" s="261"/>
      <c r="L496" s="261"/>
    </row>
    <row r="497" spans="1:12" ht="12.65" customHeight="1" x14ac:dyDescent="0.3">
      <c r="A497" s="180" t="s">
        <v>513</v>
      </c>
      <c r="B497" s="240" t="e">
        <f>#REF!</f>
        <v>#REF!</v>
      </c>
      <c r="C497" s="240">
        <f>D71</f>
        <v>0</v>
      </c>
      <c r="D497" s="240" t="e">
        <f>#REF!</f>
        <v>#REF!</v>
      </c>
      <c r="E497" s="180">
        <f>D59</f>
        <v>0</v>
      </c>
      <c r="F497" s="263" t="e">
        <f t="shared" si="17"/>
        <v>#REF!</v>
      </c>
      <c r="G497" s="263" t="str">
        <f t="shared" si="17"/>
        <v/>
      </c>
      <c r="H497" s="265" t="e">
        <f t="shared" ref="H497:H550" si="18">IF(B497=0,"",IF(C497=0,"",IF(D497=0,"",IF(E497=0,"",IF(G497/F497-1&lt;-0.25,G497/F497-1,IF(G497/F497-1&gt;0.25,G497/F497-1,""))))))</f>
        <v>#REF!</v>
      </c>
      <c r="I497" s="267"/>
      <c r="K497" s="261"/>
      <c r="L497" s="261"/>
    </row>
    <row r="498" spans="1:12" ht="12.65" customHeight="1" x14ac:dyDescent="0.3">
      <c r="A498" s="180" t="s">
        <v>514</v>
      </c>
      <c r="B498" s="240" t="e">
        <f>#REF!</f>
        <v>#REF!</v>
      </c>
      <c r="C498" s="240">
        <f>E71</f>
        <v>0</v>
      </c>
      <c r="D498" s="240" t="e">
        <f>#REF!</f>
        <v>#REF!</v>
      </c>
      <c r="E498" s="180">
        <f>E59</f>
        <v>0</v>
      </c>
      <c r="F498" s="263" t="e">
        <f t="shared" si="17"/>
        <v>#REF!</v>
      </c>
      <c r="G498" s="263" t="str">
        <f t="shared" si="17"/>
        <v/>
      </c>
      <c r="H498" s="265" t="e">
        <f t="shared" si="18"/>
        <v>#REF!</v>
      </c>
      <c r="I498" s="267"/>
      <c r="K498" s="261"/>
      <c r="L498" s="261"/>
    </row>
    <row r="499" spans="1:12" ht="12.65" customHeight="1" x14ac:dyDescent="0.3">
      <c r="A499" s="180" t="s">
        <v>515</v>
      </c>
      <c r="B499" s="240" t="e">
        <f>#REF!</f>
        <v>#REF!</v>
      </c>
      <c r="C499" s="240">
        <f>F71</f>
        <v>0</v>
      </c>
      <c r="D499" s="240" t="e">
        <f>#REF!</f>
        <v>#REF!</v>
      </c>
      <c r="E499" s="180">
        <f>F59</f>
        <v>0</v>
      </c>
      <c r="F499" s="263" t="e">
        <f t="shared" si="17"/>
        <v>#REF!</v>
      </c>
      <c r="G499" s="263" t="str">
        <f t="shared" si="17"/>
        <v/>
      </c>
      <c r="H499" s="265" t="e">
        <f t="shared" si="18"/>
        <v>#REF!</v>
      </c>
      <c r="I499" s="267"/>
      <c r="K499" s="261"/>
      <c r="L499" s="261"/>
    </row>
    <row r="500" spans="1:12" ht="12.65" customHeight="1" x14ac:dyDescent="0.3">
      <c r="A500" s="180" t="s">
        <v>516</v>
      </c>
      <c r="B500" s="240" t="e">
        <f>#REF!</f>
        <v>#REF!</v>
      </c>
      <c r="C500" s="240">
        <f>G71</f>
        <v>0</v>
      </c>
      <c r="D500" s="240" t="e">
        <f>#REF!</f>
        <v>#REF!</v>
      </c>
      <c r="E500" s="180">
        <f>G59</f>
        <v>0</v>
      </c>
      <c r="F500" s="263" t="e">
        <f t="shared" si="17"/>
        <v>#REF!</v>
      </c>
      <c r="G500" s="263" t="str">
        <f t="shared" si="17"/>
        <v/>
      </c>
      <c r="H500" s="265" t="e">
        <f t="shared" si="18"/>
        <v>#REF!</v>
      </c>
      <c r="I500" s="267"/>
      <c r="K500" s="261"/>
      <c r="L500" s="261"/>
    </row>
    <row r="501" spans="1:12" ht="12.65" customHeight="1" x14ac:dyDescent="0.3">
      <c r="A501" s="180" t="s">
        <v>517</v>
      </c>
      <c r="B501" s="240" t="e">
        <f>#REF!</f>
        <v>#REF!</v>
      </c>
      <c r="C501" s="240">
        <f>H71</f>
        <v>6428650</v>
      </c>
      <c r="D501" s="240" t="e">
        <f>#REF!</f>
        <v>#REF!</v>
      </c>
      <c r="E501" s="180">
        <f>H59</f>
        <v>23162</v>
      </c>
      <c r="F501" s="263" t="e">
        <f t="shared" si="17"/>
        <v>#REF!</v>
      </c>
      <c r="G501" s="263">
        <f t="shared" si="17"/>
        <v>277.55159312667303</v>
      </c>
      <c r="H501" s="265" t="e">
        <f t="shared" si="18"/>
        <v>#REF!</v>
      </c>
      <c r="I501" s="267"/>
      <c r="K501" s="261"/>
      <c r="L501" s="261"/>
    </row>
    <row r="502" spans="1:12" ht="12.65" customHeight="1" x14ac:dyDescent="0.3">
      <c r="A502" s="180" t="s">
        <v>518</v>
      </c>
      <c r="B502" s="240" t="e">
        <f>#REF!</f>
        <v>#REF!</v>
      </c>
      <c r="C502" s="240">
        <f>I71</f>
        <v>0</v>
      </c>
      <c r="D502" s="240" t="e">
        <f>#REF!</f>
        <v>#REF!</v>
      </c>
      <c r="E502" s="180">
        <f>I59</f>
        <v>0</v>
      </c>
      <c r="F502" s="263" t="e">
        <f t="shared" si="17"/>
        <v>#REF!</v>
      </c>
      <c r="G502" s="263" t="str">
        <f t="shared" si="17"/>
        <v/>
      </c>
      <c r="H502" s="265" t="e">
        <f t="shared" si="18"/>
        <v>#REF!</v>
      </c>
      <c r="I502" s="267"/>
      <c r="K502" s="261"/>
      <c r="L502" s="261"/>
    </row>
    <row r="503" spans="1:12" ht="12.65" customHeight="1" x14ac:dyDescent="0.3">
      <c r="A503" s="180" t="s">
        <v>519</v>
      </c>
      <c r="B503" s="240" t="e">
        <f>#REF!</f>
        <v>#REF!</v>
      </c>
      <c r="C503" s="240">
        <f>J71</f>
        <v>0</v>
      </c>
      <c r="D503" s="240" t="e">
        <f>#REF!</f>
        <v>#REF!</v>
      </c>
      <c r="E503" s="180">
        <f>J59</f>
        <v>0</v>
      </c>
      <c r="F503" s="263" t="e">
        <f t="shared" si="17"/>
        <v>#REF!</v>
      </c>
      <c r="G503" s="263" t="str">
        <f t="shared" si="17"/>
        <v/>
      </c>
      <c r="H503" s="265" t="e">
        <f t="shared" si="18"/>
        <v>#REF!</v>
      </c>
      <c r="I503" s="267"/>
      <c r="K503" s="261"/>
      <c r="L503" s="261"/>
    </row>
    <row r="504" spans="1:12" ht="12.65" customHeight="1" x14ac:dyDescent="0.3">
      <c r="A504" s="180" t="s">
        <v>520</v>
      </c>
      <c r="B504" s="240" t="e">
        <f>#REF!</f>
        <v>#REF!</v>
      </c>
      <c r="C504" s="240">
        <f>K71</f>
        <v>0</v>
      </c>
      <c r="D504" s="240" t="e">
        <f>#REF!</f>
        <v>#REF!</v>
      </c>
      <c r="E504" s="180">
        <f>K59</f>
        <v>0</v>
      </c>
      <c r="F504" s="263" t="e">
        <f t="shared" si="17"/>
        <v>#REF!</v>
      </c>
      <c r="G504" s="263" t="str">
        <f t="shared" si="17"/>
        <v/>
      </c>
      <c r="H504" s="265" t="e">
        <f t="shared" si="18"/>
        <v>#REF!</v>
      </c>
      <c r="I504" s="267"/>
      <c r="K504" s="261"/>
      <c r="L504" s="261"/>
    </row>
    <row r="505" spans="1:12" ht="12.65" customHeight="1" x14ac:dyDescent="0.3">
      <c r="A505" s="180" t="s">
        <v>521</v>
      </c>
      <c r="B505" s="240" t="e">
        <f>#REF!</f>
        <v>#REF!</v>
      </c>
      <c r="C505" s="240">
        <f>L71</f>
        <v>0</v>
      </c>
      <c r="D505" s="240" t="e">
        <f>#REF!</f>
        <v>#REF!</v>
      </c>
      <c r="E505" s="180">
        <f>L59</f>
        <v>0</v>
      </c>
      <c r="F505" s="263" t="e">
        <f t="shared" si="17"/>
        <v>#REF!</v>
      </c>
      <c r="G505" s="263" t="str">
        <f t="shared" si="17"/>
        <v/>
      </c>
      <c r="H505" s="265" t="e">
        <f t="shared" si="18"/>
        <v>#REF!</v>
      </c>
      <c r="I505" s="267"/>
      <c r="K505" s="261"/>
      <c r="L505" s="261"/>
    </row>
    <row r="506" spans="1:12" ht="12.65" customHeight="1" x14ac:dyDescent="0.3">
      <c r="A506" s="180" t="s">
        <v>522</v>
      </c>
      <c r="B506" s="240" t="e">
        <f>#REF!</f>
        <v>#REF!</v>
      </c>
      <c r="C506" s="240">
        <f>M71</f>
        <v>0</v>
      </c>
      <c r="D506" s="240" t="e">
        <f>#REF!</f>
        <v>#REF!</v>
      </c>
      <c r="E506" s="180">
        <f>M59</f>
        <v>0</v>
      </c>
      <c r="F506" s="263" t="e">
        <f t="shared" si="17"/>
        <v>#REF!</v>
      </c>
      <c r="G506" s="263" t="str">
        <f t="shared" si="17"/>
        <v/>
      </c>
      <c r="H506" s="265" t="e">
        <f t="shared" si="18"/>
        <v>#REF!</v>
      </c>
      <c r="I506" s="267"/>
      <c r="K506" s="261"/>
      <c r="L506" s="261"/>
    </row>
    <row r="507" spans="1:12" ht="12.65" customHeight="1" x14ac:dyDescent="0.3">
      <c r="A507" s="180" t="s">
        <v>523</v>
      </c>
      <c r="B507" s="240" t="e">
        <f>#REF!</f>
        <v>#REF!</v>
      </c>
      <c r="C507" s="240">
        <f>N71</f>
        <v>0</v>
      </c>
      <c r="D507" s="240" t="e">
        <f>#REF!</f>
        <v>#REF!</v>
      </c>
      <c r="E507" s="180">
        <f>N59</f>
        <v>0</v>
      </c>
      <c r="F507" s="263" t="e">
        <f t="shared" si="17"/>
        <v>#REF!</v>
      </c>
      <c r="G507" s="263" t="str">
        <f t="shared" si="17"/>
        <v/>
      </c>
      <c r="H507" s="265" t="e">
        <f t="shared" si="18"/>
        <v>#REF!</v>
      </c>
      <c r="I507" s="267"/>
      <c r="K507" s="261"/>
      <c r="L507" s="261"/>
    </row>
    <row r="508" spans="1:12" ht="12.65" customHeight="1" x14ac:dyDescent="0.3">
      <c r="A508" s="180" t="s">
        <v>524</v>
      </c>
      <c r="B508" s="240" t="e">
        <f>#REF!</f>
        <v>#REF!</v>
      </c>
      <c r="C508" s="240">
        <f>O71</f>
        <v>0</v>
      </c>
      <c r="D508" s="240" t="e">
        <f>#REF!</f>
        <v>#REF!</v>
      </c>
      <c r="E508" s="180">
        <f>O59</f>
        <v>0</v>
      </c>
      <c r="F508" s="263" t="e">
        <f t="shared" si="17"/>
        <v>#REF!</v>
      </c>
      <c r="G508" s="263" t="str">
        <f t="shared" si="17"/>
        <v/>
      </c>
      <c r="H508" s="265" t="e">
        <f t="shared" si="18"/>
        <v>#REF!</v>
      </c>
      <c r="I508" s="267"/>
      <c r="K508" s="261"/>
      <c r="L508" s="261"/>
    </row>
    <row r="509" spans="1:12" ht="12.65" customHeight="1" x14ac:dyDescent="0.3">
      <c r="A509" s="180" t="s">
        <v>525</v>
      </c>
      <c r="B509" s="240" t="e">
        <f>#REF!</f>
        <v>#REF!</v>
      </c>
      <c r="C509" s="240">
        <f>P71</f>
        <v>0</v>
      </c>
      <c r="D509" s="240" t="e">
        <f>#REF!</f>
        <v>#REF!</v>
      </c>
      <c r="E509" s="180">
        <f>P59</f>
        <v>0</v>
      </c>
      <c r="F509" s="263" t="e">
        <f t="shared" si="17"/>
        <v>#REF!</v>
      </c>
      <c r="G509" s="263" t="str">
        <f t="shared" si="17"/>
        <v/>
      </c>
      <c r="H509" s="265" t="e">
        <f t="shared" si="18"/>
        <v>#REF!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 t="e">
        <f>#REF!</f>
        <v>#REF!</v>
      </c>
      <c r="C510" s="240">
        <f>Q71</f>
        <v>0</v>
      </c>
      <c r="D510" s="240" t="e">
        <f>#REF!</f>
        <v>#REF!</v>
      </c>
      <c r="E510" s="180">
        <f>Q59</f>
        <v>0</v>
      </c>
      <c r="F510" s="263" t="e">
        <f t="shared" si="17"/>
        <v>#REF!</v>
      </c>
      <c r="G510" s="263" t="str">
        <f t="shared" si="17"/>
        <v/>
      </c>
      <c r="H510" s="265" t="e">
        <f t="shared" si="18"/>
        <v>#REF!</v>
      </c>
      <c r="I510" s="267"/>
      <c r="K510" s="261"/>
      <c r="L510" s="261"/>
    </row>
    <row r="511" spans="1:12" ht="12.65" customHeight="1" x14ac:dyDescent="0.3">
      <c r="A511" s="180" t="s">
        <v>527</v>
      </c>
      <c r="B511" s="240" t="e">
        <f>#REF!</f>
        <v>#REF!</v>
      </c>
      <c r="C511" s="240">
        <f>R71</f>
        <v>0</v>
      </c>
      <c r="D511" s="240" t="e">
        <f>#REF!</f>
        <v>#REF!</v>
      </c>
      <c r="E511" s="180">
        <f>R59</f>
        <v>0</v>
      </c>
      <c r="F511" s="263" t="e">
        <f t="shared" si="17"/>
        <v>#REF!</v>
      </c>
      <c r="G511" s="263" t="str">
        <f t="shared" si="17"/>
        <v/>
      </c>
      <c r="H511" s="265" t="e">
        <f t="shared" si="18"/>
        <v>#REF!</v>
      </c>
      <c r="I511" s="267"/>
      <c r="K511" s="261"/>
      <c r="L511" s="261"/>
    </row>
    <row r="512" spans="1:12" ht="12.65" customHeight="1" x14ac:dyDescent="0.3">
      <c r="A512" s="180" t="s">
        <v>528</v>
      </c>
      <c r="B512" s="240" t="e">
        <f>#REF!</f>
        <v>#REF!</v>
      </c>
      <c r="C512" s="240">
        <f>S71</f>
        <v>0</v>
      </c>
      <c r="D512" s="181" t="s">
        <v>529</v>
      </c>
      <c r="E512" s="181" t="s">
        <v>529</v>
      </c>
      <c r="F512" s="263" t="e">
        <f t="shared" ref="F512:G527" si="19">IF(B512=0,"",IF(D512=0,"",B512/D512))</f>
        <v>#REF!</v>
      </c>
      <c r="G512" s="263" t="str">
        <f t="shared" si="19"/>
        <v/>
      </c>
      <c r="H512" s="265" t="e">
        <f t="shared" si="18"/>
        <v>#REF!</v>
      </c>
      <c r="I512" s="267"/>
      <c r="K512" s="261"/>
      <c r="L512" s="261"/>
    </row>
    <row r="513" spans="1:12" ht="12.65" customHeight="1" x14ac:dyDescent="0.3">
      <c r="A513" s="180" t="s">
        <v>1246</v>
      </c>
      <c r="B513" s="240" t="e">
        <f>#REF!</f>
        <v>#REF!</v>
      </c>
      <c r="C513" s="240">
        <f>T71</f>
        <v>0</v>
      </c>
      <c r="D513" s="181" t="s">
        <v>529</v>
      </c>
      <c r="E513" s="181" t="s">
        <v>529</v>
      </c>
      <c r="F513" s="263" t="e">
        <f t="shared" si="19"/>
        <v>#REF!</v>
      </c>
      <c r="G513" s="263" t="str">
        <f t="shared" si="19"/>
        <v/>
      </c>
      <c r="H513" s="265" t="e">
        <f t="shared" si="18"/>
        <v>#REF!</v>
      </c>
      <c r="I513" s="267"/>
      <c r="K513" s="261"/>
      <c r="L513" s="261"/>
    </row>
    <row r="514" spans="1:12" ht="12.65" customHeight="1" x14ac:dyDescent="0.3">
      <c r="A514" s="180" t="s">
        <v>530</v>
      </c>
      <c r="B514" s="240" t="e">
        <f>#REF!</f>
        <v>#REF!</v>
      </c>
      <c r="C514" s="240">
        <f>U71</f>
        <v>52826</v>
      </c>
      <c r="D514" s="240" t="e">
        <f>#REF!</f>
        <v>#REF!</v>
      </c>
      <c r="E514" s="180">
        <f>U59</f>
        <v>0</v>
      </c>
      <c r="F514" s="263" t="e">
        <f t="shared" si="19"/>
        <v>#REF!</v>
      </c>
      <c r="G514" s="263" t="str">
        <f t="shared" si="19"/>
        <v/>
      </c>
      <c r="H514" s="265" t="e">
        <f t="shared" si="18"/>
        <v>#REF!</v>
      </c>
      <c r="I514" s="267"/>
      <c r="K514" s="261"/>
      <c r="L514" s="261"/>
    </row>
    <row r="515" spans="1:12" ht="12.65" customHeight="1" x14ac:dyDescent="0.3">
      <c r="A515" s="180" t="s">
        <v>531</v>
      </c>
      <c r="B515" s="240" t="e">
        <f>#REF!</f>
        <v>#REF!</v>
      </c>
      <c r="C515" s="240">
        <f>V71</f>
        <v>0</v>
      </c>
      <c r="D515" s="240" t="e">
        <f>#REF!</f>
        <v>#REF!</v>
      </c>
      <c r="E515" s="180">
        <f>V59</f>
        <v>0</v>
      </c>
      <c r="F515" s="263" t="e">
        <f t="shared" si="19"/>
        <v>#REF!</v>
      </c>
      <c r="G515" s="263" t="str">
        <f t="shared" si="19"/>
        <v/>
      </c>
      <c r="H515" s="265" t="e">
        <f t="shared" si="18"/>
        <v>#REF!</v>
      </c>
      <c r="I515" s="267"/>
      <c r="K515" s="261"/>
      <c r="L515" s="261"/>
    </row>
    <row r="516" spans="1:12" ht="12.65" customHeight="1" x14ac:dyDescent="0.3">
      <c r="A516" s="180" t="s">
        <v>532</v>
      </c>
      <c r="B516" s="240" t="e">
        <f>#REF!</f>
        <v>#REF!</v>
      </c>
      <c r="C516" s="240">
        <f>W71</f>
        <v>0</v>
      </c>
      <c r="D516" s="240" t="e">
        <f>#REF!</f>
        <v>#REF!</v>
      </c>
      <c r="E516" s="180">
        <f>W59</f>
        <v>0</v>
      </c>
      <c r="F516" s="263" t="e">
        <f t="shared" si="19"/>
        <v>#REF!</v>
      </c>
      <c r="G516" s="263" t="str">
        <f t="shared" si="19"/>
        <v/>
      </c>
      <c r="H516" s="265" t="e">
        <f t="shared" si="18"/>
        <v>#REF!</v>
      </c>
      <c r="I516" s="267"/>
      <c r="K516" s="261"/>
      <c r="L516" s="261"/>
    </row>
    <row r="517" spans="1:12" ht="12.65" customHeight="1" x14ac:dyDescent="0.3">
      <c r="A517" s="180" t="s">
        <v>533</v>
      </c>
      <c r="B517" s="240" t="e">
        <f>#REF!</f>
        <v>#REF!</v>
      </c>
      <c r="C517" s="240">
        <f>X71</f>
        <v>0</v>
      </c>
      <c r="D517" s="240" t="e">
        <f>#REF!</f>
        <v>#REF!</v>
      </c>
      <c r="E517" s="180">
        <f>X59</f>
        <v>0</v>
      </c>
      <c r="F517" s="263" t="e">
        <f t="shared" si="19"/>
        <v>#REF!</v>
      </c>
      <c r="G517" s="263" t="str">
        <f t="shared" si="19"/>
        <v/>
      </c>
      <c r="H517" s="265" t="e">
        <f t="shared" si="18"/>
        <v>#REF!</v>
      </c>
      <c r="I517" s="267"/>
      <c r="K517" s="261"/>
      <c r="L517" s="261"/>
    </row>
    <row r="518" spans="1:12" ht="12.65" customHeight="1" x14ac:dyDescent="0.3">
      <c r="A518" s="180" t="s">
        <v>534</v>
      </c>
      <c r="B518" s="240" t="e">
        <f>#REF!</f>
        <v>#REF!</v>
      </c>
      <c r="C518" s="240">
        <f>Y71</f>
        <v>0</v>
      </c>
      <c r="D518" s="240" t="e">
        <f>#REF!</f>
        <v>#REF!</v>
      </c>
      <c r="E518" s="180">
        <f>Y59</f>
        <v>0</v>
      </c>
      <c r="F518" s="263" t="e">
        <f t="shared" si="19"/>
        <v>#REF!</v>
      </c>
      <c r="G518" s="263" t="str">
        <f t="shared" si="19"/>
        <v/>
      </c>
      <c r="H518" s="265" t="e">
        <f t="shared" si="18"/>
        <v>#REF!</v>
      </c>
      <c r="I518" s="267"/>
      <c r="K518" s="261"/>
      <c r="L518" s="261"/>
    </row>
    <row r="519" spans="1:12" ht="12.65" customHeight="1" x14ac:dyDescent="0.3">
      <c r="A519" s="180" t="s">
        <v>535</v>
      </c>
      <c r="B519" s="240" t="e">
        <f>#REF!</f>
        <v>#REF!</v>
      </c>
      <c r="C519" s="240">
        <f>Z71</f>
        <v>0</v>
      </c>
      <c r="D519" s="240" t="e">
        <f>#REF!</f>
        <v>#REF!</v>
      </c>
      <c r="E519" s="180">
        <f>Z59</f>
        <v>0</v>
      </c>
      <c r="F519" s="263" t="e">
        <f t="shared" si="19"/>
        <v>#REF!</v>
      </c>
      <c r="G519" s="263" t="str">
        <f t="shared" si="19"/>
        <v/>
      </c>
      <c r="H519" s="265" t="e">
        <f t="shared" si="18"/>
        <v>#REF!</v>
      </c>
      <c r="I519" s="267"/>
      <c r="K519" s="261"/>
      <c r="L519" s="261"/>
    </row>
    <row r="520" spans="1:12" ht="12.65" customHeight="1" x14ac:dyDescent="0.3">
      <c r="A520" s="180" t="s">
        <v>536</v>
      </c>
      <c r="B520" s="240" t="e">
        <f>#REF!</f>
        <v>#REF!</v>
      </c>
      <c r="C520" s="240">
        <f>AA71</f>
        <v>0</v>
      </c>
      <c r="D520" s="240" t="e">
        <f>#REF!</f>
        <v>#REF!</v>
      </c>
      <c r="E520" s="180">
        <f>AA59</f>
        <v>0</v>
      </c>
      <c r="F520" s="263" t="e">
        <f t="shared" si="19"/>
        <v>#REF!</v>
      </c>
      <c r="G520" s="263" t="str">
        <f t="shared" si="19"/>
        <v/>
      </c>
      <c r="H520" s="265" t="e">
        <f t="shared" si="18"/>
        <v>#REF!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 t="e">
        <f>#REF!</f>
        <v>#REF!</v>
      </c>
      <c r="C521" s="240">
        <f>AB71</f>
        <v>736147</v>
      </c>
      <c r="D521" s="181" t="s">
        <v>529</v>
      </c>
      <c r="E521" s="181" t="s">
        <v>529</v>
      </c>
      <c r="F521" s="263" t="e">
        <f t="shared" si="19"/>
        <v>#REF!</v>
      </c>
      <c r="G521" s="263" t="str">
        <f t="shared" si="19"/>
        <v/>
      </c>
      <c r="H521" s="265" t="e">
        <f t="shared" si="18"/>
        <v>#REF!</v>
      </c>
      <c r="I521" s="267"/>
      <c r="K521" s="261"/>
      <c r="L521" s="261"/>
    </row>
    <row r="522" spans="1:12" ht="12.65" customHeight="1" x14ac:dyDescent="0.3">
      <c r="A522" s="180" t="s">
        <v>538</v>
      </c>
      <c r="B522" s="240" t="e">
        <f>#REF!</f>
        <v>#REF!</v>
      </c>
      <c r="C522" s="240">
        <f>AC71</f>
        <v>0</v>
      </c>
      <c r="D522" s="240" t="e">
        <f>#REF!</f>
        <v>#REF!</v>
      </c>
      <c r="E522" s="180">
        <f>AC59</f>
        <v>0</v>
      </c>
      <c r="F522" s="263" t="e">
        <f t="shared" si="19"/>
        <v>#REF!</v>
      </c>
      <c r="G522" s="263" t="str">
        <f t="shared" si="19"/>
        <v/>
      </c>
      <c r="H522" s="265" t="e">
        <f t="shared" si="18"/>
        <v>#REF!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 t="e">
        <f>#REF!</f>
        <v>#REF!</v>
      </c>
      <c r="C523" s="240">
        <f>AD71</f>
        <v>0</v>
      </c>
      <c r="D523" s="240" t="e">
        <f>#REF!</f>
        <v>#REF!</v>
      </c>
      <c r="E523" s="180">
        <f>AD59</f>
        <v>0</v>
      </c>
      <c r="F523" s="263" t="e">
        <f t="shared" si="19"/>
        <v>#REF!</v>
      </c>
      <c r="G523" s="263" t="str">
        <f t="shared" si="19"/>
        <v/>
      </c>
      <c r="H523" s="265" t="e">
        <f t="shared" si="18"/>
        <v>#REF!</v>
      </c>
      <c r="I523" s="267"/>
      <c r="K523" s="261"/>
      <c r="L523" s="261"/>
    </row>
    <row r="524" spans="1:12" ht="12.65" customHeight="1" x14ac:dyDescent="0.3">
      <c r="A524" s="180" t="s">
        <v>540</v>
      </c>
      <c r="B524" s="240" t="e">
        <f>#REF!</f>
        <v>#REF!</v>
      </c>
      <c r="C524" s="240">
        <f>AE71</f>
        <v>0</v>
      </c>
      <c r="D524" s="240" t="e">
        <f>#REF!</f>
        <v>#REF!</v>
      </c>
      <c r="E524" s="180">
        <f>AE59</f>
        <v>0</v>
      </c>
      <c r="F524" s="263" t="e">
        <f t="shared" si="19"/>
        <v>#REF!</v>
      </c>
      <c r="G524" s="263" t="str">
        <f t="shared" si="19"/>
        <v/>
      </c>
      <c r="H524" s="265" t="e">
        <f t="shared" si="18"/>
        <v>#REF!</v>
      </c>
      <c r="I524" s="267"/>
      <c r="K524" s="261"/>
      <c r="L524" s="261"/>
    </row>
    <row r="525" spans="1:12" ht="12.65" customHeight="1" x14ac:dyDescent="0.3">
      <c r="A525" s="180" t="s">
        <v>541</v>
      </c>
      <c r="B525" s="240" t="e">
        <f>#REF!</f>
        <v>#REF!</v>
      </c>
      <c r="C525" s="240">
        <f>AF71</f>
        <v>0</v>
      </c>
      <c r="D525" s="240" t="e">
        <f>#REF!</f>
        <v>#REF!</v>
      </c>
      <c r="E525" s="180">
        <f>AF59</f>
        <v>0</v>
      </c>
      <c r="F525" s="263" t="e">
        <f t="shared" si="19"/>
        <v>#REF!</v>
      </c>
      <c r="G525" s="263" t="str">
        <f t="shared" si="19"/>
        <v/>
      </c>
      <c r="H525" s="265" t="e">
        <f t="shared" si="18"/>
        <v>#REF!</v>
      </c>
      <c r="I525" s="267"/>
      <c r="K525" s="261"/>
      <c r="L525" s="261"/>
    </row>
    <row r="526" spans="1:12" ht="12.65" customHeight="1" x14ac:dyDescent="0.3">
      <c r="A526" s="180" t="s">
        <v>542</v>
      </c>
      <c r="B526" s="240" t="e">
        <f>#REF!</f>
        <v>#REF!</v>
      </c>
      <c r="C526" s="240">
        <f>AG71</f>
        <v>0</v>
      </c>
      <c r="D526" s="240" t="e">
        <f>#REF!</f>
        <v>#REF!</v>
      </c>
      <c r="E526" s="180">
        <f>AG59</f>
        <v>0</v>
      </c>
      <c r="F526" s="263" t="e">
        <f t="shared" si="19"/>
        <v>#REF!</v>
      </c>
      <c r="G526" s="263" t="str">
        <f t="shared" si="19"/>
        <v/>
      </c>
      <c r="H526" s="265" t="e">
        <f t="shared" si="18"/>
        <v>#REF!</v>
      </c>
      <c r="I526" s="267"/>
      <c r="K526" s="261"/>
      <c r="L526" s="261"/>
    </row>
    <row r="527" spans="1:12" ht="12.65" customHeight="1" x14ac:dyDescent="0.3">
      <c r="A527" s="180" t="s">
        <v>543</v>
      </c>
      <c r="B527" s="240" t="e">
        <f>#REF!</f>
        <v>#REF!</v>
      </c>
      <c r="C527" s="240">
        <f>AH71</f>
        <v>0</v>
      </c>
      <c r="D527" s="240" t="e">
        <f>#REF!</f>
        <v>#REF!</v>
      </c>
      <c r="E527" s="180">
        <f>AH59</f>
        <v>0</v>
      </c>
      <c r="F527" s="263" t="e">
        <f t="shared" si="19"/>
        <v>#REF!</v>
      </c>
      <c r="G527" s="263" t="str">
        <f t="shared" si="19"/>
        <v/>
      </c>
      <c r="H527" s="265" t="e">
        <f t="shared" si="18"/>
        <v>#REF!</v>
      </c>
      <c r="I527" s="267"/>
      <c r="K527" s="261"/>
      <c r="L527" s="261"/>
    </row>
    <row r="528" spans="1:12" ht="12.65" customHeight="1" x14ac:dyDescent="0.3">
      <c r="A528" s="180" t="s">
        <v>544</v>
      </c>
      <c r="B528" s="240" t="e">
        <f>#REF!</f>
        <v>#REF!</v>
      </c>
      <c r="C528" s="240">
        <f>AI71</f>
        <v>0</v>
      </c>
      <c r="D528" s="240" t="e">
        <f>#REF!</f>
        <v>#REF!</v>
      </c>
      <c r="E528" s="180">
        <f>AI59</f>
        <v>0</v>
      </c>
      <c r="F528" s="263" t="e">
        <f t="shared" ref="F528:G540" si="20">IF(B528=0,"",IF(D528=0,"",B528/D528))</f>
        <v>#REF!</v>
      </c>
      <c r="G528" s="263" t="str">
        <f t="shared" si="20"/>
        <v/>
      </c>
      <c r="H528" s="265" t="e">
        <f t="shared" si="18"/>
        <v>#REF!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 t="e">
        <f>#REF!</f>
        <v>#REF!</v>
      </c>
      <c r="C529" s="240">
        <f>AJ71</f>
        <v>0</v>
      </c>
      <c r="D529" s="240" t="e">
        <f>#REF!</f>
        <v>#REF!</v>
      </c>
      <c r="E529" s="180">
        <f>AJ59</f>
        <v>0</v>
      </c>
      <c r="F529" s="263" t="e">
        <f t="shared" si="20"/>
        <v>#REF!</v>
      </c>
      <c r="G529" s="263" t="str">
        <f t="shared" si="20"/>
        <v/>
      </c>
      <c r="H529" s="265" t="e">
        <f t="shared" si="18"/>
        <v>#REF!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 t="e">
        <f>#REF!</f>
        <v>#REF!</v>
      </c>
      <c r="C530" s="240">
        <f>AK71</f>
        <v>0</v>
      </c>
      <c r="D530" s="240" t="e">
        <f>#REF!</f>
        <v>#REF!</v>
      </c>
      <c r="E530" s="180">
        <f>AK59</f>
        <v>0</v>
      </c>
      <c r="F530" s="263" t="e">
        <f t="shared" si="20"/>
        <v>#REF!</v>
      </c>
      <c r="G530" s="263" t="str">
        <f t="shared" si="20"/>
        <v/>
      </c>
      <c r="H530" s="265" t="e">
        <f t="shared" si="18"/>
        <v>#REF!</v>
      </c>
      <c r="I530" s="267"/>
      <c r="K530" s="261"/>
      <c r="L530" s="261"/>
    </row>
    <row r="531" spans="1:12" ht="12.65" customHeight="1" x14ac:dyDescent="0.3">
      <c r="A531" s="180" t="s">
        <v>547</v>
      </c>
      <c r="B531" s="240" t="e">
        <f>#REF!</f>
        <v>#REF!</v>
      </c>
      <c r="C531" s="240">
        <f>AL71</f>
        <v>0</v>
      </c>
      <c r="D531" s="240" t="e">
        <f>#REF!</f>
        <v>#REF!</v>
      </c>
      <c r="E531" s="180">
        <f>AL59</f>
        <v>0</v>
      </c>
      <c r="F531" s="263" t="e">
        <f t="shared" si="20"/>
        <v>#REF!</v>
      </c>
      <c r="G531" s="263" t="str">
        <f t="shared" si="20"/>
        <v/>
      </c>
      <c r="H531" s="265" t="e">
        <f t="shared" si="18"/>
        <v>#REF!</v>
      </c>
      <c r="I531" s="267"/>
      <c r="K531" s="261"/>
      <c r="L531" s="261"/>
    </row>
    <row r="532" spans="1:12" ht="12.65" customHeight="1" x14ac:dyDescent="0.3">
      <c r="A532" s="180" t="s">
        <v>548</v>
      </c>
      <c r="B532" s="240" t="e">
        <f>#REF!</f>
        <v>#REF!</v>
      </c>
      <c r="C532" s="240">
        <f>AM71</f>
        <v>228897</v>
      </c>
      <c r="D532" s="240" t="e">
        <f>#REF!</f>
        <v>#REF!</v>
      </c>
      <c r="E532" s="180">
        <f>AM59</f>
        <v>0</v>
      </c>
      <c r="F532" s="263" t="e">
        <f t="shared" si="20"/>
        <v>#REF!</v>
      </c>
      <c r="G532" s="263" t="str">
        <f t="shared" si="20"/>
        <v/>
      </c>
      <c r="H532" s="265" t="e">
        <f t="shared" si="18"/>
        <v>#REF!</v>
      </c>
      <c r="I532" s="267"/>
      <c r="K532" s="261"/>
      <c r="L532" s="261"/>
    </row>
    <row r="533" spans="1:12" ht="12.65" customHeight="1" x14ac:dyDescent="0.3">
      <c r="A533" s="180" t="s">
        <v>1247</v>
      </c>
      <c r="B533" s="240" t="e">
        <f>#REF!</f>
        <v>#REF!</v>
      </c>
      <c r="C533" s="240">
        <f>AN71</f>
        <v>0</v>
      </c>
      <c r="D533" s="240" t="e">
        <f>#REF!</f>
        <v>#REF!</v>
      </c>
      <c r="E533" s="180">
        <f>AN59</f>
        <v>0</v>
      </c>
      <c r="F533" s="263" t="e">
        <f t="shared" si="20"/>
        <v>#REF!</v>
      </c>
      <c r="G533" s="263" t="str">
        <f t="shared" si="20"/>
        <v/>
      </c>
      <c r="H533" s="265" t="e">
        <f t="shared" si="18"/>
        <v>#REF!</v>
      </c>
      <c r="I533" s="267"/>
      <c r="K533" s="261"/>
      <c r="L533" s="261"/>
    </row>
    <row r="534" spans="1:12" ht="12.65" customHeight="1" x14ac:dyDescent="0.3">
      <c r="A534" s="180" t="s">
        <v>549</v>
      </c>
      <c r="B534" s="240" t="e">
        <f>#REF!</f>
        <v>#REF!</v>
      </c>
      <c r="C534" s="240">
        <f>AO71</f>
        <v>0</v>
      </c>
      <c r="D534" s="240" t="e">
        <f>#REF!</f>
        <v>#REF!</v>
      </c>
      <c r="E534" s="180">
        <f>AO59</f>
        <v>0</v>
      </c>
      <c r="F534" s="263" t="e">
        <f t="shared" si="20"/>
        <v>#REF!</v>
      </c>
      <c r="G534" s="263" t="str">
        <f t="shared" si="20"/>
        <v/>
      </c>
      <c r="H534" s="265" t="e">
        <f t="shared" si="18"/>
        <v>#REF!</v>
      </c>
      <c r="I534" s="267"/>
      <c r="K534" s="261"/>
      <c r="L534" s="261"/>
    </row>
    <row r="535" spans="1:12" ht="12.65" customHeight="1" x14ac:dyDescent="0.3">
      <c r="A535" s="180" t="s">
        <v>550</v>
      </c>
      <c r="B535" s="240" t="e">
        <f>#REF!</f>
        <v>#REF!</v>
      </c>
      <c r="C535" s="240">
        <f>AP71</f>
        <v>0</v>
      </c>
      <c r="D535" s="240" t="e">
        <f>#REF!</f>
        <v>#REF!</v>
      </c>
      <c r="E535" s="180">
        <f>AP59</f>
        <v>0</v>
      </c>
      <c r="F535" s="263" t="e">
        <f t="shared" si="20"/>
        <v>#REF!</v>
      </c>
      <c r="G535" s="263" t="str">
        <f t="shared" si="20"/>
        <v/>
      </c>
      <c r="H535" s="265" t="e">
        <f t="shared" si="18"/>
        <v>#REF!</v>
      </c>
      <c r="I535" s="267"/>
      <c r="K535" s="261"/>
      <c r="L535" s="261"/>
    </row>
    <row r="536" spans="1:12" ht="12.65" customHeight="1" x14ac:dyDescent="0.3">
      <c r="A536" s="180" t="s">
        <v>551</v>
      </c>
      <c r="B536" s="240" t="e">
        <f>#REF!</f>
        <v>#REF!</v>
      </c>
      <c r="C536" s="240">
        <f>AQ71</f>
        <v>0</v>
      </c>
      <c r="D536" s="240" t="e">
        <f>#REF!</f>
        <v>#REF!</v>
      </c>
      <c r="E536" s="180">
        <f>AQ59</f>
        <v>0</v>
      </c>
      <c r="F536" s="263" t="e">
        <f t="shared" si="20"/>
        <v>#REF!</v>
      </c>
      <c r="G536" s="263" t="str">
        <f t="shared" si="20"/>
        <v/>
      </c>
      <c r="H536" s="265" t="e">
        <f t="shared" si="18"/>
        <v>#REF!</v>
      </c>
      <c r="I536" s="267"/>
      <c r="K536" s="261"/>
      <c r="L536" s="261"/>
    </row>
    <row r="537" spans="1:12" ht="12.65" customHeight="1" x14ac:dyDescent="0.3">
      <c r="A537" s="180" t="s">
        <v>552</v>
      </c>
      <c r="B537" s="240" t="e">
        <f>#REF!</f>
        <v>#REF!</v>
      </c>
      <c r="C537" s="240">
        <f>AR71</f>
        <v>0</v>
      </c>
      <c r="D537" s="240" t="e">
        <f>#REF!</f>
        <v>#REF!</v>
      </c>
      <c r="E537" s="180">
        <f>AR59</f>
        <v>0</v>
      </c>
      <c r="F537" s="263" t="e">
        <f t="shared" si="20"/>
        <v>#REF!</v>
      </c>
      <c r="G537" s="263" t="str">
        <f t="shared" si="20"/>
        <v/>
      </c>
      <c r="H537" s="265" t="e">
        <f t="shared" si="18"/>
        <v>#REF!</v>
      </c>
      <c r="I537" s="267"/>
      <c r="K537" s="261"/>
      <c r="L537" s="261"/>
    </row>
    <row r="538" spans="1:12" ht="12.65" customHeight="1" x14ac:dyDescent="0.3">
      <c r="A538" s="180" t="s">
        <v>553</v>
      </c>
      <c r="B538" s="240" t="e">
        <f>#REF!</f>
        <v>#REF!</v>
      </c>
      <c r="C538" s="240">
        <f>AS71</f>
        <v>0</v>
      </c>
      <c r="D538" s="240" t="e">
        <f>#REF!</f>
        <v>#REF!</v>
      </c>
      <c r="E538" s="180">
        <f>AS59</f>
        <v>0</v>
      </c>
      <c r="F538" s="263" t="e">
        <f t="shared" si="20"/>
        <v>#REF!</v>
      </c>
      <c r="G538" s="263" t="str">
        <f t="shared" si="20"/>
        <v/>
      </c>
      <c r="H538" s="265" t="e">
        <f t="shared" si="18"/>
        <v>#REF!</v>
      </c>
      <c r="I538" s="267"/>
      <c r="K538" s="261"/>
      <c r="L538" s="261"/>
    </row>
    <row r="539" spans="1:12" ht="12.65" customHeight="1" x14ac:dyDescent="0.3">
      <c r="A539" s="180" t="s">
        <v>554</v>
      </c>
      <c r="B539" s="240" t="e">
        <f>#REF!</f>
        <v>#REF!</v>
      </c>
      <c r="C539" s="240">
        <f>AT71</f>
        <v>0</v>
      </c>
      <c r="D539" s="240" t="e">
        <f>#REF!</f>
        <v>#REF!</v>
      </c>
      <c r="E539" s="180">
        <f>AT59</f>
        <v>0</v>
      </c>
      <c r="F539" s="263" t="e">
        <f t="shared" si="20"/>
        <v>#REF!</v>
      </c>
      <c r="G539" s="263" t="str">
        <f t="shared" si="20"/>
        <v/>
      </c>
      <c r="H539" s="265" t="e">
        <f t="shared" si="18"/>
        <v>#REF!</v>
      </c>
      <c r="I539" s="267"/>
      <c r="K539" s="261"/>
      <c r="L539" s="261"/>
    </row>
    <row r="540" spans="1:12" ht="12.65" customHeight="1" x14ac:dyDescent="0.3">
      <c r="A540" s="180" t="s">
        <v>555</v>
      </c>
      <c r="B540" s="240" t="e">
        <f>#REF!</f>
        <v>#REF!</v>
      </c>
      <c r="C540" s="240">
        <f>AU71</f>
        <v>339422</v>
      </c>
      <c r="D540" s="240" t="e">
        <f>#REF!</f>
        <v>#REF!</v>
      </c>
      <c r="E540" s="180">
        <f>AU59</f>
        <v>0</v>
      </c>
      <c r="F540" s="263" t="e">
        <f t="shared" si="20"/>
        <v>#REF!</v>
      </c>
      <c r="G540" s="263" t="str">
        <f t="shared" si="20"/>
        <v/>
      </c>
      <c r="H540" s="265" t="e">
        <f t="shared" si="18"/>
        <v>#REF!</v>
      </c>
      <c r="I540" s="267"/>
      <c r="K540" s="261"/>
      <c r="L540" s="261"/>
    </row>
    <row r="541" spans="1:12" ht="12.65" customHeight="1" x14ac:dyDescent="0.3">
      <c r="A541" s="180" t="s">
        <v>556</v>
      </c>
      <c r="B541" s="240" t="e">
        <f>#REF!</f>
        <v>#REF!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 t="e">
        <f>#REF!</f>
        <v>#REF!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 t="e">
        <f>#REF!</f>
        <v>#REF!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 t="e">
        <f>#REF!</f>
        <v>#REF!</v>
      </c>
      <c r="C544" s="240">
        <f>AY71</f>
        <v>704227</v>
      </c>
      <c r="D544" s="240" t="e">
        <f>#REF!</f>
        <v>#REF!</v>
      </c>
      <c r="E544" s="180">
        <f>AY59</f>
        <v>69486</v>
      </c>
      <c r="F544" s="263" t="e">
        <f t="shared" ref="F544:G550" si="21">IF(B544=0,"",IF(D544=0,"",B544/D544))</f>
        <v>#REF!</v>
      </c>
      <c r="G544" s="263">
        <f t="shared" si="21"/>
        <v>10.134804133206689</v>
      </c>
      <c r="H544" s="265" t="e">
        <f t="shared" si="18"/>
        <v>#REF!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 t="e">
        <f>#REF!</f>
        <v>#REF!</v>
      </c>
      <c r="C545" s="240">
        <f>AZ71</f>
        <v>67020</v>
      </c>
      <c r="D545" s="240" t="e">
        <f>#REF!</f>
        <v>#REF!</v>
      </c>
      <c r="E545" s="180">
        <f>AZ59</f>
        <v>0</v>
      </c>
      <c r="F545" s="263" t="e">
        <f t="shared" si="21"/>
        <v>#REF!</v>
      </c>
      <c r="G545" s="263" t="str">
        <f t="shared" si="21"/>
        <v/>
      </c>
      <c r="H545" s="265" t="e">
        <f t="shared" si="18"/>
        <v>#REF!</v>
      </c>
      <c r="I545" s="267"/>
      <c r="K545" s="261"/>
      <c r="L545" s="261"/>
    </row>
    <row r="546" spans="1:13" ht="12.65" customHeight="1" x14ac:dyDescent="0.3">
      <c r="A546" s="180" t="s">
        <v>560</v>
      </c>
      <c r="B546" s="240" t="e">
        <f>#REF!</f>
        <v>#REF!</v>
      </c>
      <c r="C546" s="240">
        <f>BA71</f>
        <v>64344</v>
      </c>
      <c r="D546" s="240" t="e">
        <f>#REF!</f>
        <v>#REF!</v>
      </c>
      <c r="E546" s="180">
        <f>BA59</f>
        <v>0</v>
      </c>
      <c r="F546" s="263" t="e">
        <f t="shared" si="21"/>
        <v>#REF!</v>
      </c>
      <c r="G546" s="263" t="str">
        <f t="shared" si="21"/>
        <v/>
      </c>
      <c r="H546" s="265" t="e">
        <f t="shared" si="18"/>
        <v>#REF!</v>
      </c>
      <c r="I546" s="267"/>
      <c r="K546" s="261"/>
      <c r="L546" s="261"/>
    </row>
    <row r="547" spans="1:13" ht="12.65" customHeight="1" x14ac:dyDescent="0.3">
      <c r="A547" s="180" t="s">
        <v>561</v>
      </c>
      <c r="B547" s="240" t="e">
        <f>#REF!</f>
        <v>#REF!</v>
      </c>
      <c r="C547" s="240">
        <f>BB71</f>
        <v>873563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 t="e">
        <f>#REF!</f>
        <v>#REF!</v>
      </c>
      <c r="C548" s="240">
        <f>BC71</f>
        <v>30478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 t="e">
        <f>#REF!</f>
        <v>#REF!</v>
      </c>
      <c r="C549" s="240">
        <f>BD71</f>
        <v>96987.5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 t="e">
        <f>#REF!</f>
        <v>#REF!</v>
      </c>
      <c r="C550" s="240">
        <f>BE71</f>
        <v>1378363</v>
      </c>
      <c r="D550" s="240" t="e">
        <f>#REF!</f>
        <v>#REF!</v>
      </c>
      <c r="E550" s="180">
        <f>BE59</f>
        <v>68235</v>
      </c>
      <c r="F550" s="263" t="e">
        <f t="shared" si="21"/>
        <v>#REF!</v>
      </c>
      <c r="G550" s="263">
        <f t="shared" si="21"/>
        <v>20.200234483769325</v>
      </c>
      <c r="H550" s="265" t="e">
        <f t="shared" si="18"/>
        <v>#REF!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 t="e">
        <f>#REF!</f>
        <v>#REF!</v>
      </c>
      <c r="C551" s="240">
        <f>BF71</f>
        <v>306387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 t="e">
        <f>#REF!</f>
        <v>#REF!</v>
      </c>
      <c r="C552" s="240">
        <f>BG71</f>
        <v>309443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 t="e">
        <f>#REF!</f>
        <v>#REF!</v>
      </c>
      <c r="C553" s="240">
        <f>BH71</f>
        <v>240673.5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 t="e">
        <f>#REF!</f>
        <v>#REF!</v>
      </c>
      <c r="C554" s="240">
        <f>BI71</f>
        <v>1049519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 t="e">
        <f>#REF!</f>
        <v>#REF!</v>
      </c>
      <c r="C555" s="240">
        <f>BJ71</f>
        <v>314896.01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 t="e">
        <f>#REF!</f>
        <v>#REF!</v>
      </c>
      <c r="C556" s="240">
        <f>BK71</f>
        <v>458552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 t="e">
        <f>#REF!</f>
        <v>#REF!</v>
      </c>
      <c r="C557" s="240">
        <f>BL71</f>
        <v>967897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 t="e">
        <f>#REF!</f>
        <v>#REF!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 t="e">
        <f>#REF!</f>
        <v>#REF!</v>
      </c>
      <c r="C559" s="240">
        <f>BN71</f>
        <v>1315342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 t="e">
        <f>#REF!</f>
        <v>#REF!</v>
      </c>
      <c r="C560" s="240">
        <f>BO71</f>
        <v>58423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 t="e">
        <f>#REF!</f>
        <v>#REF!</v>
      </c>
      <c r="C561" s="240">
        <f>BP71</f>
        <v>281866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 t="e">
        <f>#REF!</f>
        <v>#REF!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 t="e">
        <f>#REF!</f>
        <v>#REF!</v>
      </c>
      <c r="C563" s="240">
        <f>BR71</f>
        <v>249920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 t="e">
        <f>#REF!</f>
        <v>#REF!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 t="e">
        <f>#REF!</f>
        <v>#REF!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 t="e">
        <f>#REF!</f>
        <v>#REF!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 t="e">
        <f>#REF!</f>
        <v>#REF!</v>
      </c>
      <c r="C567" s="240">
        <f>BV71</f>
        <v>180662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 t="e">
        <f>#REF!</f>
        <v>#REF!</v>
      </c>
      <c r="C568" s="240">
        <f>BW71</f>
        <v>3562367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 t="e">
        <f>#REF!</f>
        <v>#REF!</v>
      </c>
      <c r="C569" s="240">
        <f>BX71</f>
        <v>300694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 t="e">
        <f>#REF!</f>
        <v>#REF!</v>
      </c>
      <c r="C570" s="240">
        <f>BY71</f>
        <v>1043149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 t="e">
        <f>#REF!</f>
        <v>#REF!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 t="e">
        <f>#REF!</f>
        <v>#REF!</v>
      </c>
      <c r="C572" s="240">
        <f>CA71</f>
        <v>414815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 t="e">
        <f>#REF!</f>
        <v>#REF!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 t="e">
        <f>#REF!</f>
        <v>#REF!</v>
      </c>
      <c r="C574" s="240">
        <f>CC71</f>
        <v>133739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 t="e">
        <f>#REF!</f>
        <v>#REF!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46983</v>
      </c>
      <c r="E612" s="180">
        <f>SUM(C624:D647)+SUM(C668:D713)</f>
        <v>19628121.876380816</v>
      </c>
      <c r="F612" s="180">
        <f>CE64-(AX64+BD64+BE64+BG64+BJ64+BN64+BP64+BQ64+CB64+CC64+CD64)</f>
        <v>741504</v>
      </c>
      <c r="G612" s="180">
        <f>CE77-(AX77+AY77+BD77+BE77+BG77+BJ77+BN77+BP77+BQ77+CB77+CC77+CD77)</f>
        <v>69486</v>
      </c>
      <c r="H612" s="197">
        <f>CE60-(AX60+AY60+AZ60+BD60+BE60+BG60+BJ60+BN60+BO60+BP60+BQ60+BR60+CB60+CC60+CD60)</f>
        <v>130.04214559386975</v>
      </c>
      <c r="I612" s="180">
        <f>CE78-(AX78+AY78+AZ78+BD78+BE78+BF78+BG78+BJ78+BN78+BO78+BP78+BQ78+BR78+CB78+CC78+CD78)</f>
        <v>8993.5910832462559</v>
      </c>
      <c r="J612" s="180">
        <f>CE79-(AX79+AY79+AZ79+BA79+BD79+BE79+BF79+BG79+BJ79+BN79+BO79+BP79+BQ79+BR79+CB79+CC79+CD79)</f>
        <v>77361.08</v>
      </c>
      <c r="K612" s="180">
        <f>CE75-(AW75+AX75+AY75+AZ75+BA75+BB75+BC75+BD75+BE75+BF75+BG75+BH75+BI75+BJ75+BK75+BL75+BM75+BN75+BO75+BP75+BQ75+BR75+BS75+BT75+BU75+BV75+BW75+BX75+CB75+CC75+CD75)</f>
        <v>24438700</v>
      </c>
      <c r="L612" s="197">
        <f>CE80-(AW80+AX80+AY80+AZ80+BA80+BB80+BC80+BD80+BE80+BF80+BG80+BH80+BI80+BJ80+BK80+BL80+BM80+BN80+BO80+BP80+BQ80+BR80+BS80+BT80+BU80+BV80+BW80+BX80+BY80+BZ80+CA80+CB80+CC80+CD80)</f>
        <v>66.53879310344827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1378363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1378363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314896.01</v>
      </c>
      <c r="D617" s="180">
        <f>(D615/D612)*BJ76</f>
        <v>7040.9961049741396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309443</v>
      </c>
      <c r="D618" s="180">
        <f>(D615/D612)*BG76</f>
        <v>6718.2837834961574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1315342</v>
      </c>
      <c r="D619" s="180">
        <f>(D615/D612)*BN76</f>
        <v>185882.29717131727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133739</v>
      </c>
      <c r="D620" s="180">
        <f>(D615/D612)*CC76</f>
        <v>2875.0734095311068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281866</v>
      </c>
      <c r="D621" s="180">
        <f>(D615/D612)*BP76</f>
        <v>3344.4731498627161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2561147.1336191813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96987.5</v>
      </c>
      <c r="D624" s="180">
        <f>(D615/D612)*BD76</f>
        <v>8478.5328097396923</v>
      </c>
      <c r="E624" s="180">
        <f>(E623/E612)*SUM(C624:D624)</f>
        <v>13761.58296377244</v>
      </c>
      <c r="F624" s="180">
        <f>SUM(C624:E624)</f>
        <v>119227.61577351214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704227</v>
      </c>
      <c r="D625" s="180">
        <f>(D615/D612)*AY76</f>
        <v>78595.119021773833</v>
      </c>
      <c r="E625" s="180">
        <f>(E623/E612)*SUM(C625:D625)</f>
        <v>102145.41354967338</v>
      </c>
      <c r="F625" s="180">
        <f>(F624/F612)*AY64</f>
        <v>43382.860452026907</v>
      </c>
      <c r="G625" s="180">
        <f>SUM(C625:F625)</f>
        <v>928350.39302347414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249920</v>
      </c>
      <c r="D626" s="180">
        <f>(D615/D612)*BR76</f>
        <v>5691.4718515207624</v>
      </c>
      <c r="E626" s="180">
        <f>(E623/E612)*SUM(C626:D626)</f>
        <v>33353.093718073724</v>
      </c>
      <c r="F626" s="180">
        <f>(F624/F612)*BR64</f>
        <v>196.48733718932309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58423</v>
      </c>
      <c r="D627" s="180">
        <f>(D615/D612)*BO76</f>
        <v>0</v>
      </c>
      <c r="E627" s="180">
        <f>(E623/E612)*SUM(C627:D627)</f>
        <v>7623.2407731015855</v>
      </c>
      <c r="F627" s="180">
        <f>(F624/F612)*BO64</f>
        <v>9393.9277419082027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67020</v>
      </c>
      <c r="D628" s="180">
        <f>(D615/D612)*AZ76</f>
        <v>56914.718515207627</v>
      </c>
      <c r="E628" s="180">
        <f>(E623/E612)*SUM(C628:D628)</f>
        <v>16171.442743234664</v>
      </c>
      <c r="F628" s="180">
        <f>(F624/F612)*AZ64</f>
        <v>0</v>
      </c>
      <c r="G628" s="180">
        <f>(G625/G612)*AZ77</f>
        <v>0</v>
      </c>
      <c r="H628" s="180">
        <f>SUM(C626:G628)</f>
        <v>504707.3826802359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306387</v>
      </c>
      <c r="D629" s="180">
        <f>(D615/D612)*BF76</f>
        <v>37463.966775216562</v>
      </c>
      <c r="E629" s="180">
        <f>(E623/E612)*SUM(C629:D629)</f>
        <v>44866.896766534235</v>
      </c>
      <c r="F629" s="180">
        <f>(F624/F612)*BF64</f>
        <v>6218.4544013583318</v>
      </c>
      <c r="G629" s="180">
        <f>(G625/G612)*BF77</f>
        <v>0</v>
      </c>
      <c r="H629" s="180">
        <f>(H628/H612)*BF60</f>
        <v>18459.41861390878</v>
      </c>
      <c r="I629" s="180">
        <f>SUM(C629:H629)</f>
        <v>413395.7365570179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64344</v>
      </c>
      <c r="D630" s="180">
        <f>(D615/D612)*BA76</f>
        <v>0</v>
      </c>
      <c r="E630" s="180">
        <f>(E623/E612)*SUM(C630:D630)</f>
        <v>8395.8339062432333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72739.833906243235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873563</v>
      </c>
      <c r="D632" s="180">
        <f>(D615/D612)*BB76</f>
        <v>38402.766255879782</v>
      </c>
      <c r="E632" s="180">
        <f>(E623/E612)*SUM(C632:D632)</f>
        <v>118996.53583339871</v>
      </c>
      <c r="F632" s="180">
        <f>(F624/F612)*BB64</f>
        <v>736.26474385426388</v>
      </c>
      <c r="G632" s="180">
        <f>(G625/G612)*BB77</f>
        <v>0</v>
      </c>
      <c r="H632" s="180">
        <f>(H628/H612)*BB60</f>
        <v>42036.023759293821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30478</v>
      </c>
      <c r="D633" s="180">
        <f>(D615/D612)*BC76</f>
        <v>0</v>
      </c>
      <c r="E633" s="180">
        <f>(E623/E612)*SUM(C633:D633)</f>
        <v>3976.8778098110351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1049519</v>
      </c>
      <c r="D634" s="180">
        <f>(D615/D612)*BI76</f>
        <v>0</v>
      </c>
      <c r="E634" s="180">
        <f>(E623/E612)*SUM(C634:D634)</f>
        <v>136944.97086669295</v>
      </c>
      <c r="F634" s="180">
        <f>(F624/F612)*BI64</f>
        <v>0</v>
      </c>
      <c r="G634" s="180">
        <f>(G625/G612)*BI77</f>
        <v>0</v>
      </c>
      <c r="H634" s="180">
        <f>(H628/H612)*BI60</f>
        <v>9790.1276648331004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458552</v>
      </c>
      <c r="D635" s="180">
        <f>(D615/D612)*BK76</f>
        <v>7305.0334589106697</v>
      </c>
      <c r="E635" s="180">
        <f>(E623/E612)*SUM(C635:D635)</f>
        <v>60786.682161137178</v>
      </c>
      <c r="F635" s="180">
        <f>(F624/F612)*BK64</f>
        <v>0</v>
      </c>
      <c r="G635" s="180">
        <f>(G625/G612)*BK77</f>
        <v>0</v>
      </c>
      <c r="H635" s="180">
        <f>(H628/H612)*BK60</f>
        <v>19167.608976601281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240673.5</v>
      </c>
      <c r="D636" s="180">
        <f>(D615/D612)*BH76</f>
        <v>8419.857842198242</v>
      </c>
      <c r="E636" s="180">
        <f>(E623/E612)*SUM(C636:D636)</f>
        <v>32502.587025853332</v>
      </c>
      <c r="F636" s="180">
        <f>(F624/F612)*BH64</f>
        <v>2141.7441336839474</v>
      </c>
      <c r="G636" s="180">
        <f>(G625/G612)*BH77</f>
        <v>0</v>
      </c>
      <c r="H636" s="180">
        <f>(H628/H612)*BH60</f>
        <v>2975.8865371934348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967897</v>
      </c>
      <c r="D637" s="180">
        <f>(D615/D612)*BL76</f>
        <v>40045.66534704042</v>
      </c>
      <c r="E637" s="180">
        <f>(E623/E612)*SUM(C637:D637)</f>
        <v>131519.9428893115</v>
      </c>
      <c r="F637" s="180">
        <f>(F624/F612)*BL64</f>
        <v>95.349419765358917</v>
      </c>
      <c r="G637" s="180">
        <f>(G625/G612)*BL77</f>
        <v>0</v>
      </c>
      <c r="H637" s="180">
        <f>(H628/H612)*BL60</f>
        <v>39621.484963657182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180662</v>
      </c>
      <c r="D642" s="180">
        <f>(D615/D612)*BV76</f>
        <v>12673.79298895345</v>
      </c>
      <c r="E642" s="180">
        <f>(E623/E612)*SUM(C642:D642)</f>
        <v>25227.141708116967</v>
      </c>
      <c r="F642" s="180">
        <f>(F624/F612)*BV64</f>
        <v>1492.950021115274</v>
      </c>
      <c r="G642" s="180">
        <f>(G625/G612)*BV77</f>
        <v>0</v>
      </c>
      <c r="H642" s="180">
        <f>(H628/H612)*BV60</f>
        <v>9046.6207223737802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3562367</v>
      </c>
      <c r="D643" s="180">
        <f>(D615/D612)*BW76</f>
        <v>34588.893365685457</v>
      </c>
      <c r="E643" s="180">
        <f>(E623/E612)*SUM(C643:D643)</f>
        <v>469343.5945664093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300694</v>
      </c>
      <c r="D644" s="180">
        <f>(D615/D612)*BX76</f>
        <v>9740.0446118808923</v>
      </c>
      <c r="E644" s="180">
        <f>(E623/E612)*SUM(C644:D644)</f>
        <v>40506.537943004078</v>
      </c>
      <c r="F644" s="180">
        <f>(F624/F612)*BX64</f>
        <v>21.06369981325804</v>
      </c>
      <c r="G644" s="180">
        <f>(G625/G612)*BX77</f>
        <v>0</v>
      </c>
      <c r="H644" s="180">
        <f>(H628/H612)*BX60</f>
        <v>12542.962119288735</v>
      </c>
      <c r="I644" s="180">
        <f>(I629/I612)*BX78</f>
        <v>0</v>
      </c>
      <c r="J644" s="180">
        <f>(J630/J612)*BX79</f>
        <v>0</v>
      </c>
      <c r="K644" s="180">
        <f>SUM(C631:J644)</f>
        <v>8975054.5114357565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1043149</v>
      </c>
      <c r="D645" s="180">
        <f>(D615/D612)*BY76</f>
        <v>14052.654726177552</v>
      </c>
      <c r="E645" s="180">
        <f>(E623/E612)*SUM(C645:D645)</f>
        <v>137947.43097237492</v>
      </c>
      <c r="F645" s="180">
        <f>(F624/F612)*BY64</f>
        <v>0</v>
      </c>
      <c r="G645" s="180">
        <f>(G625/G612)*BY77</f>
        <v>0</v>
      </c>
      <c r="H645" s="180">
        <f>(H628/H612)*BY60</f>
        <v>32493.112152828449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414815</v>
      </c>
      <c r="D647" s="180">
        <f>(D615/D612)*CA76</f>
        <v>0</v>
      </c>
      <c r="E647" s="180">
        <f>(E623/E612)*SUM(C647:D647)</f>
        <v>54126.536146622631</v>
      </c>
      <c r="F647" s="180">
        <f>(F624/F612)*CA64</f>
        <v>0</v>
      </c>
      <c r="G647" s="180">
        <f>(G625/G612)*CA77</f>
        <v>0</v>
      </c>
      <c r="H647" s="180">
        <f>(H628/H612)*CA60</f>
        <v>20825.629458285566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1717409.3634562891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14403327.01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2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2"/>
        <v>0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6428650</v>
      </c>
      <c r="D673" s="180">
        <f>(D615/D612)*H76</f>
        <v>795339.18502437044</v>
      </c>
      <c r="E673" s="180">
        <f>(E623/E612)*SUM(C673:D673)</f>
        <v>942611.79500749148</v>
      </c>
      <c r="F673" s="180">
        <f>(F624/F612)*H64</f>
        <v>11339.827704809339</v>
      </c>
      <c r="G673" s="180">
        <f>(G625/G612)*H77</f>
        <v>928350.39302347414</v>
      </c>
      <c r="H673" s="180">
        <f>(H628/H612)*H60</f>
        <v>258244.12509175186</v>
      </c>
      <c r="I673" s="180">
        <f>(I629/I612)*H78</f>
        <v>413395.7365570179</v>
      </c>
      <c r="J673" s="180">
        <f>(J630/J612)*H79</f>
        <v>72739.833906243235</v>
      </c>
      <c r="K673" s="180">
        <f>(K644/K612)*H75</f>
        <v>8975054.5114357565</v>
      </c>
      <c r="L673" s="180">
        <f>(L647/L612)*H80</f>
        <v>1717409.3634562891</v>
      </c>
      <c r="M673" s="180">
        <f t="shared" si="22"/>
        <v>14114485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2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2"/>
        <v>0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2"/>
        <v>0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2"/>
        <v>0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2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52826</v>
      </c>
      <c r="D686" s="180">
        <f>(D615/D612)*U76</f>
        <v>1906.9364450971627</v>
      </c>
      <c r="E686" s="180">
        <f>(E623/E612)*SUM(C686:D686)</f>
        <v>7141.748159797382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2"/>
        <v>9049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2"/>
        <v>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2"/>
        <v>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2"/>
        <v>0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2"/>
        <v>0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2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2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736147</v>
      </c>
      <c r="D693" s="180">
        <f>(D615/D612)*AB76</f>
        <v>22120.462763127089</v>
      </c>
      <c r="E693" s="180">
        <f>(E623/E612)*SUM(C693:D693)</f>
        <v>98941.434692709343</v>
      </c>
      <c r="F693" s="180">
        <f>(F624/F612)*AB64</f>
        <v>40933.521984428742</v>
      </c>
      <c r="G693" s="180">
        <f>(G625/G612)*AB77</f>
        <v>0</v>
      </c>
      <c r="H693" s="180">
        <f>(H628/H612)*AB60</f>
        <v>9396.0689853296608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2"/>
        <v>171391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2"/>
        <v>0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2"/>
        <v>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2"/>
        <v>0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2"/>
        <v>0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228897</v>
      </c>
      <c r="D704" s="180">
        <f>(D615/D612)*AM76</f>
        <v>762.77457803886512</v>
      </c>
      <c r="E704" s="180">
        <f>(E623/E612)*SUM(C704:D704)</f>
        <v>29966.823982072554</v>
      </c>
      <c r="F704" s="180">
        <f>(F624/F612)*AM64</f>
        <v>1842.5109630543807</v>
      </c>
      <c r="G704" s="180">
        <f>(G625/G612)*AM77</f>
        <v>0</v>
      </c>
      <c r="H704" s="180">
        <f>(H628/H612)*AM60</f>
        <v>13569.001699882598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46141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339422</v>
      </c>
      <c r="D712" s="180">
        <f>(D615/D612)*AU76</f>
        <v>0</v>
      </c>
      <c r="E712" s="180">
        <f>(E623/E612)*SUM(C712:D712)</f>
        <v>44288.989433745039</v>
      </c>
      <c r="F712" s="180">
        <f>(F624/F612)*AU64</f>
        <v>1432.6531705048026</v>
      </c>
      <c r="G712" s="180">
        <f>(G625/G612)*AU77</f>
        <v>0</v>
      </c>
      <c r="H712" s="180">
        <f>(H628/H612)*AU60</f>
        <v>16539.311935007579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62261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0</v>
      </c>
      <c r="N713" s="199" t="s">
        <v>741</v>
      </c>
    </row>
    <row r="715" spans="1:83" ht="12.65" customHeight="1" x14ac:dyDescent="0.3">
      <c r="C715" s="180">
        <f>SUM(C614:C647)+SUM(C668:C713)</f>
        <v>22189269.009999998</v>
      </c>
      <c r="D715" s="180">
        <f>SUM(D616:D647)+SUM(D668:D713)</f>
        <v>1378363</v>
      </c>
      <c r="E715" s="180">
        <f>SUM(E624:E647)+SUM(E668:E713)</f>
        <v>2561147.1336191818</v>
      </c>
      <c r="F715" s="180">
        <f>SUM(F625:F648)+SUM(F668:F713)</f>
        <v>119227.61577351214</v>
      </c>
      <c r="G715" s="180">
        <f>SUM(G626:G647)+SUM(G668:G713)</f>
        <v>928350.39302347414</v>
      </c>
      <c r="H715" s="180">
        <f>SUM(H629:H647)+SUM(H668:H713)</f>
        <v>504707.3826802359</v>
      </c>
      <c r="I715" s="180">
        <f>SUM(I630:I647)+SUM(I668:I713)</f>
        <v>413395.7365570179</v>
      </c>
      <c r="J715" s="180">
        <f>SUM(J631:J647)+SUM(J668:J713)</f>
        <v>72739.833906243235</v>
      </c>
      <c r="K715" s="180">
        <f>SUM(K668:K713)</f>
        <v>8975054.5114357565</v>
      </c>
      <c r="L715" s="180">
        <f>SUM(L668:L713)</f>
        <v>1717409.3634562891</v>
      </c>
      <c r="M715" s="180">
        <f>SUM(M668:M713)</f>
        <v>14403327</v>
      </c>
      <c r="N715" s="198" t="s">
        <v>742</v>
      </c>
    </row>
    <row r="716" spans="1:83" ht="12.65" customHeight="1" x14ac:dyDescent="0.3">
      <c r="C716" s="180">
        <f>CE71</f>
        <v>22189269.010000002</v>
      </c>
      <c r="D716" s="180">
        <f>D615</f>
        <v>1378363</v>
      </c>
      <c r="E716" s="180">
        <f>E623</f>
        <v>2561147.1336191813</v>
      </c>
      <c r="F716" s="180">
        <f>F624</f>
        <v>119227.61577351214</v>
      </c>
      <c r="G716" s="180">
        <f>G625</f>
        <v>928350.39302347414</v>
      </c>
      <c r="H716" s="180">
        <f>H628</f>
        <v>504707.3826802359</v>
      </c>
      <c r="I716" s="180">
        <f>I629</f>
        <v>413395.7365570179</v>
      </c>
      <c r="J716" s="180">
        <f>J630</f>
        <v>72739.833906243235</v>
      </c>
      <c r="K716" s="180">
        <f>K644</f>
        <v>8975054.5114357565</v>
      </c>
      <c r="L716" s="180">
        <f>L647</f>
        <v>1717409.3634562891</v>
      </c>
      <c r="M716" s="180">
        <f>C648</f>
        <v>14403327.01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926*2020*A</v>
      </c>
      <c r="B722" s="276">
        <f>ROUND(C165,0)</f>
        <v>868440</v>
      </c>
      <c r="C722" s="276">
        <f>ROUND(C166,0)</f>
        <v>59050</v>
      </c>
      <c r="D722" s="276">
        <f>ROUND(C167,0)</f>
        <v>412304</v>
      </c>
      <c r="E722" s="276">
        <f>ROUND(C168,0)</f>
        <v>323719</v>
      </c>
      <c r="F722" s="276">
        <f>ROUND(C169,0)</f>
        <v>36265</v>
      </c>
      <c r="G722" s="276">
        <f>ROUND(C170,0)</f>
        <v>142897</v>
      </c>
      <c r="H722" s="276">
        <f>ROUND(C171+C172,0)</f>
        <v>378131</v>
      </c>
      <c r="I722" s="276">
        <f>ROUND(C175,0)</f>
        <v>0</v>
      </c>
      <c r="J722" s="276">
        <f>ROUND(C176,0)</f>
        <v>2168</v>
      </c>
      <c r="K722" s="276">
        <f>ROUND(C179,0)</f>
        <v>71906</v>
      </c>
      <c r="L722" s="276">
        <f>ROUND(C180,0)</f>
        <v>40954</v>
      </c>
      <c r="M722" s="276">
        <f>ROUND(C183,0)</f>
        <v>45867</v>
      </c>
      <c r="N722" s="276">
        <f>ROUND(C184,0)</f>
        <v>670330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4759217</v>
      </c>
      <c r="S722" s="276">
        <f>ROUND(C195,0)</f>
        <v>0</v>
      </c>
      <c r="T722" s="276">
        <f>ROUND(D195,0)</f>
        <v>0</v>
      </c>
      <c r="U722" s="276">
        <f>ROUND(B196,0)</f>
        <v>1099025</v>
      </c>
      <c r="V722" s="276">
        <f>ROUND(C196,0)</f>
        <v>55011</v>
      </c>
      <c r="W722" s="276">
        <f>ROUND(D196,0)</f>
        <v>0</v>
      </c>
      <c r="X722" s="276">
        <f>ROUND(B197,0)</f>
        <v>32290938</v>
      </c>
      <c r="Y722" s="276">
        <f>ROUND(C197,0)</f>
        <v>243461</v>
      </c>
      <c r="Z722" s="276">
        <f>ROUND(D197,0)</f>
        <v>0</v>
      </c>
      <c r="AA722" s="276">
        <f>ROUND(B198,0)</f>
        <v>2048380</v>
      </c>
      <c r="AB722" s="276">
        <f>ROUND(C198,0)</f>
        <v>4284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1617467</v>
      </c>
      <c r="AH722" s="276">
        <f>ROUND(C200,0)</f>
        <v>566716</v>
      </c>
      <c r="AI722" s="276">
        <f>ROUND(D200,0)</f>
        <v>4787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-7181</v>
      </c>
      <c r="AQ722" s="276">
        <f>ROUND(C203,0)</f>
        <v>7181</v>
      </c>
      <c r="AR722" s="276">
        <f>ROUND(D203,0)</f>
        <v>0</v>
      </c>
      <c r="AS722" s="276"/>
      <c r="AT722" s="276"/>
      <c r="AU722" s="276"/>
      <c r="AV722" s="276">
        <f>ROUND(B209,0)</f>
        <v>91585</v>
      </c>
      <c r="AW722" s="276">
        <f>ROUND(C209,0)</f>
        <v>81520</v>
      </c>
      <c r="AX722" s="276">
        <f>ROUND(D209,0)</f>
        <v>0</v>
      </c>
      <c r="AY722" s="276">
        <f>ROUND(B210,0)</f>
        <v>1636499</v>
      </c>
      <c r="AZ722" s="276">
        <f>ROUND(C210,0)</f>
        <v>1333989</v>
      </c>
      <c r="BA722" s="276">
        <f>ROUND(D210,0)</f>
        <v>0</v>
      </c>
      <c r="BB722" s="276">
        <f>ROUND(B211,0)</f>
        <v>490100</v>
      </c>
      <c r="BC722" s="276">
        <f>ROUND(C211,0)</f>
        <v>393548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447525</v>
      </c>
      <c r="BI722" s="276">
        <f>ROUND(C213,0)</f>
        <v>517798</v>
      </c>
      <c r="BJ722" s="276">
        <f>ROUND(D213,0)</f>
        <v>1277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4485580</v>
      </c>
      <c r="BU722" s="276">
        <f>ROUND(C224,0)</f>
        <v>1050494</v>
      </c>
      <c r="BV722" s="276">
        <f>ROUND(C225,0)</f>
        <v>0</v>
      </c>
      <c r="BW722" s="276">
        <f>ROUND(C226,0)</f>
        <v>11687958</v>
      </c>
      <c r="BX722" s="276">
        <f>ROUND(C227,0)</f>
        <v>2119652</v>
      </c>
      <c r="BY722" s="276">
        <f>ROUND(C228,0)</f>
        <v>3320029</v>
      </c>
      <c r="BZ722" s="276">
        <f>ROUND(C231,0)</f>
        <v>228</v>
      </c>
      <c r="CA722" s="276">
        <f>ROUND(C233,0)</f>
        <v>448265</v>
      </c>
      <c r="CB722" s="276">
        <f>ROUND(C234,0)</f>
        <v>38277</v>
      </c>
      <c r="CC722" s="276">
        <f>ROUND(C238+C239,0)</f>
        <v>117209</v>
      </c>
      <c r="CD722" s="276">
        <f>D221</f>
        <v>774221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926*2020*A</v>
      </c>
      <c r="B726" s="276">
        <f>ROUND(C111,0)</f>
        <v>2027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23162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100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100</v>
      </c>
      <c r="W726" s="276">
        <f>ROUND(C129,0)</f>
        <v>0</v>
      </c>
      <c r="X726" s="276">
        <f>ROUND(B138,0)</f>
        <v>272</v>
      </c>
      <c r="Y726" s="276">
        <f>ROUND(B139,0)</f>
        <v>4752</v>
      </c>
      <c r="Z726" s="276">
        <f>ROUND(B140,0)</f>
        <v>413</v>
      </c>
      <c r="AA726" s="276">
        <f>ROUND(B141,0)</f>
        <v>4220998</v>
      </c>
      <c r="AB726" s="276">
        <f>ROUND(B142,0)</f>
        <v>96222</v>
      </c>
      <c r="AC726" s="276">
        <f>ROUND(C138,0)</f>
        <v>92</v>
      </c>
      <c r="AD726" s="276">
        <f>ROUND(C139,0)</f>
        <v>907</v>
      </c>
      <c r="AE726" s="276">
        <f>ROUND(C140,0)</f>
        <v>0</v>
      </c>
      <c r="AF726" s="276">
        <f>ROUND(C141,0)</f>
        <v>582106</v>
      </c>
      <c r="AG726" s="276">
        <f>ROUND(C142,0)</f>
        <v>0</v>
      </c>
      <c r="AH726" s="276">
        <f>ROUND(D138,0)</f>
        <v>1663</v>
      </c>
      <c r="AI726" s="276">
        <f>ROUND(D139,0)</f>
        <v>17503</v>
      </c>
      <c r="AJ726" s="276">
        <f>ROUND(D140,0)</f>
        <v>1923</v>
      </c>
      <c r="AK726" s="276">
        <f>ROUND(D141,0)</f>
        <v>18865106</v>
      </c>
      <c r="AL726" s="276">
        <f>ROUND(D142,0)</f>
        <v>674268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926*2020*A</v>
      </c>
      <c r="B730" s="276">
        <f>ROUND(C250,0)</f>
        <v>-164329</v>
      </c>
      <c r="C730" s="276">
        <f>ROUND(C251,0)</f>
        <v>0</v>
      </c>
      <c r="D730" s="276">
        <f>ROUND(C252,0)</f>
        <v>8416986</v>
      </c>
      <c r="E730" s="276">
        <f>ROUND(C253,0)</f>
        <v>3638614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120521</v>
      </c>
      <c r="J730" s="276">
        <f>ROUND(C258,0)</f>
        <v>56399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4759217</v>
      </c>
      <c r="P730" s="276">
        <f>ROUND(C268,0)</f>
        <v>1154036</v>
      </c>
      <c r="Q730" s="276">
        <f>ROUND(C269,0)</f>
        <v>32534399</v>
      </c>
      <c r="R730" s="276">
        <f>ROUND(C270,0)</f>
        <v>2052664</v>
      </c>
      <c r="S730" s="276">
        <f>ROUND(C271,0)</f>
        <v>0</v>
      </c>
      <c r="T730" s="276">
        <f>ROUND(C272,0)</f>
        <v>2179396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4991287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12356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5000</v>
      </c>
      <c r="AI730" s="276">
        <f>ROUND(C306,0)</f>
        <v>1659375</v>
      </c>
      <c r="AJ730" s="276">
        <f>ROUND(C307,0)</f>
        <v>311320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131806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-3797638</v>
      </c>
      <c r="BF730" s="276">
        <f>ROUND(C336,0)</f>
        <v>44181881</v>
      </c>
      <c r="BG730" s="276"/>
      <c r="BH730" s="276"/>
      <c r="BI730" s="276">
        <f>ROUND(CE60,2)</f>
        <v>154.78</v>
      </c>
      <c r="BJ730" s="276">
        <f>ROUND(C359,0)</f>
        <v>46294164</v>
      </c>
      <c r="BK730" s="276">
        <f>ROUND(C360,0)</f>
        <v>1412000</v>
      </c>
      <c r="BL730" s="276">
        <f>ROUND(C364,0)</f>
        <v>22663713</v>
      </c>
      <c r="BM730" s="276">
        <f>ROUND(C365,0)</f>
        <v>486542</v>
      </c>
      <c r="BN730" s="276">
        <f>ROUND(C366,0)</f>
        <v>117209</v>
      </c>
      <c r="BO730" s="276">
        <f>ROUND(C370,0)</f>
        <v>163749</v>
      </c>
      <c r="BP730" s="276">
        <f>ROUND(C371,0)</f>
        <v>0</v>
      </c>
      <c r="BQ730" s="276">
        <f>ROUND(C378,0)</f>
        <v>10330847</v>
      </c>
      <c r="BR730" s="276">
        <f>ROUND(C379,0)</f>
        <v>2220806</v>
      </c>
      <c r="BS730" s="276">
        <f>ROUND(C380,0)</f>
        <v>3502624</v>
      </c>
      <c r="BT730" s="276">
        <f>ROUND(C381,0)</f>
        <v>788919</v>
      </c>
      <c r="BU730" s="276">
        <f>ROUND(C382,0)</f>
        <v>239013</v>
      </c>
      <c r="BV730" s="276">
        <f>ROUND(C383,0)</f>
        <v>840458</v>
      </c>
      <c r="BW730" s="276">
        <f>ROUND(C384,0)</f>
        <v>2357261</v>
      </c>
      <c r="BX730" s="276">
        <f>ROUND(C385,0)</f>
        <v>2168</v>
      </c>
      <c r="BY730" s="276">
        <f>ROUND(C386,0)</f>
        <v>112860</v>
      </c>
      <c r="BZ730" s="276">
        <f>ROUND(C387,0)</f>
        <v>716197</v>
      </c>
      <c r="CA730" s="276">
        <f>ROUND(C388,0)</f>
        <v>0</v>
      </c>
      <c r="CB730" s="276">
        <f>C363</f>
        <v>774221</v>
      </c>
      <c r="CC730" s="276">
        <f>ROUND(C389,0)</f>
        <v>1081581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926*2020*6010*A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926*2020*6030*A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3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926*2020*6070*A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3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926*2020*6100*A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3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926*2020*6120*A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3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926*2020*6140*A</v>
      </c>
      <c r="B739" s="276">
        <f>ROUND(H59,0)</f>
        <v>23162</v>
      </c>
      <c r="C739" s="278">
        <f>ROUND(H60,2)</f>
        <v>66.540000000000006</v>
      </c>
      <c r="D739" s="276">
        <f>ROUND(H61,0)</f>
        <v>4406441</v>
      </c>
      <c r="E739" s="276">
        <f>ROUND(H62,0)</f>
        <v>947246</v>
      </c>
      <c r="F739" s="276">
        <f>ROUND(H63,0)</f>
        <v>0</v>
      </c>
      <c r="G739" s="276">
        <f>ROUND(H64,0)</f>
        <v>70525</v>
      </c>
      <c r="H739" s="276">
        <f>ROUND(H65,0)</f>
        <v>0</v>
      </c>
      <c r="I739" s="276">
        <f>ROUND(H66,0)</f>
        <v>66625</v>
      </c>
      <c r="J739" s="276">
        <f>ROUND(H67,0)</f>
        <v>936547</v>
      </c>
      <c r="K739" s="276">
        <f>ROUND(H68,0)</f>
        <v>1266</v>
      </c>
      <c r="L739" s="276">
        <f>ROUND(H69,0)</f>
        <v>0</v>
      </c>
      <c r="M739" s="276">
        <f>ROUND(H70,0)</f>
        <v>0</v>
      </c>
      <c r="N739" s="276">
        <f>ROUND(H75,0)</f>
        <v>24438700</v>
      </c>
      <c r="O739" s="276">
        <f>ROUND(H73,0)</f>
        <v>23668210</v>
      </c>
      <c r="P739" s="276">
        <f>IF(H76&gt;0,ROUND(H76,0),0)</f>
        <v>27110</v>
      </c>
      <c r="Q739" s="276">
        <f>IF(H77&gt;0,ROUND(H77,0),0)</f>
        <v>69486</v>
      </c>
      <c r="R739" s="276">
        <f>IF(H78&gt;0,ROUND(H78,0),0)</f>
        <v>8994</v>
      </c>
      <c r="S739" s="276">
        <f>IF(H79&gt;0,ROUND(H79,0),0)</f>
        <v>77361</v>
      </c>
      <c r="T739" s="278">
        <f>IF(H80&gt;0,ROUND(H80,2),0)</f>
        <v>66.540000000000006</v>
      </c>
      <c r="U739" s="276"/>
      <c r="V739" s="277"/>
      <c r="W739" s="276"/>
      <c r="X739" s="276"/>
      <c r="Y739" s="276">
        <f t="shared" si="23"/>
        <v>14114485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926*2020*6150*A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926*2020*6170*A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926*2020*6200*A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926*2020*6210*A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926*2020*6330*A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926*2020*6400*A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3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926*2020*7010*A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3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926*2020*7020*A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3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926*2020*7030*A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3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926*2020*7040*A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3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926*2020*7050*A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926*2020*7060*A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3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926*2020*7070*A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50580</v>
      </c>
      <c r="J752" s="276">
        <f>ROUND(U67,0)</f>
        <v>2246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65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3"/>
        <v>9049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926*2020*7110*A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926*2020*7120*A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3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926*2020*7130*A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3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926*2020*7140*A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3"/>
        <v>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926*2020*7150*A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3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926*2020*7160*A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3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926*2020*7170*A</v>
      </c>
      <c r="B759" s="276"/>
      <c r="C759" s="278">
        <f>ROUND(AB60,2)</f>
        <v>2.42</v>
      </c>
      <c r="D759" s="276">
        <f>ROUND(AB61,0)</f>
        <v>298042</v>
      </c>
      <c r="E759" s="276">
        <f>ROUND(AB62,0)</f>
        <v>64070</v>
      </c>
      <c r="F759" s="276">
        <f>ROUND(AB63,0)</f>
        <v>0</v>
      </c>
      <c r="G759" s="276">
        <f>ROUND(AB64,0)</f>
        <v>254575</v>
      </c>
      <c r="H759" s="276">
        <f>ROUND(AB65,0)</f>
        <v>0</v>
      </c>
      <c r="I759" s="276">
        <f>ROUND(AB66,0)</f>
        <v>93412</v>
      </c>
      <c r="J759" s="276">
        <f>ROUND(AB67,0)</f>
        <v>26048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754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171391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926*2020*7180*A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926*2020*7190*A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3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926*2020*7200*A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926*2020*7220*A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926*2020*7230*A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3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926*2020*7240*A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926*2020*7250*A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3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926*2020*7260*A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3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926*2020*7310*A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926*2020*7320*A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926*2020*7330*A</v>
      </c>
      <c r="B770" s="276">
        <f>ROUND(AM59,0)</f>
        <v>0</v>
      </c>
      <c r="C770" s="278">
        <f>ROUND(AM60,2)</f>
        <v>3.5</v>
      </c>
      <c r="D770" s="276">
        <f>ROUND(AM61,0)</f>
        <v>178227</v>
      </c>
      <c r="E770" s="276">
        <f>ROUND(AM62,0)</f>
        <v>38313</v>
      </c>
      <c r="F770" s="276">
        <f>ROUND(AM63,0)</f>
        <v>0</v>
      </c>
      <c r="G770" s="276">
        <f>ROUND(AM64,0)</f>
        <v>11459</v>
      </c>
      <c r="H770" s="276">
        <f>ROUND(AM65,0)</f>
        <v>0</v>
      </c>
      <c r="I770" s="276">
        <f>ROUND(AM66,0)</f>
        <v>0</v>
      </c>
      <c r="J770" s="276">
        <f>ROUND(AM67,0)</f>
        <v>898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26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46141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926*2020*7340*A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926*2020*7350*A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926*2020*7380*A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3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926*2020*7390*A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926*2020*7400*A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926*2020*7410*A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926*2020*7420*A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926*2020*7430*A</v>
      </c>
      <c r="B778" s="276">
        <f>ROUND(AU59,0)</f>
        <v>0</v>
      </c>
      <c r="C778" s="278">
        <f>ROUND(AU60,2)</f>
        <v>4.26</v>
      </c>
      <c r="D778" s="276">
        <f>ROUND(AU61,0)</f>
        <v>272033</v>
      </c>
      <c r="E778" s="276">
        <f>ROUND(AU62,0)</f>
        <v>58479</v>
      </c>
      <c r="F778" s="276">
        <f>ROUND(AU63,0)</f>
        <v>0</v>
      </c>
      <c r="G778" s="276">
        <f>ROUND(AU64,0)</f>
        <v>8910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62261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926*2020*7490*A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3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926*2020*8200*A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926*2020*8310*A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926*2020*8320*A</v>
      </c>
      <c r="B782" s="276">
        <f>ROUND(AY59,0)</f>
        <v>69486</v>
      </c>
      <c r="C782" s="278">
        <f>ROUND(AY60,2)</f>
        <v>6.17</v>
      </c>
      <c r="D782" s="276">
        <f>ROUND(AY61,0)</f>
        <v>281132</v>
      </c>
      <c r="E782" s="276">
        <f>ROUND(AY62,0)</f>
        <v>60435</v>
      </c>
      <c r="F782" s="276">
        <f>ROUND(AY63,0)</f>
        <v>0</v>
      </c>
      <c r="G782" s="276">
        <f>ROUND(AY64,0)</f>
        <v>269808</v>
      </c>
      <c r="H782" s="276">
        <f>ROUND(AY65,0)</f>
        <v>0</v>
      </c>
      <c r="I782" s="276">
        <f>ROUND(AY66,0)</f>
        <v>303</v>
      </c>
      <c r="J782" s="276">
        <f>ROUND(AY67,0)</f>
        <v>92549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2679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926*2020*8330*A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67020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1940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926*2020*8350*A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64344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926*2020*8360*A</v>
      </c>
      <c r="B785" s="276"/>
      <c r="C785" s="278">
        <f>ROUND(BB60,2)</f>
        <v>10.83</v>
      </c>
      <c r="D785" s="276">
        <f>ROUND(BB61,0)</f>
        <v>678012</v>
      </c>
      <c r="E785" s="276">
        <f>ROUND(BB62,0)</f>
        <v>145751</v>
      </c>
      <c r="F785" s="276">
        <f>ROUND(BB63,0)</f>
        <v>0</v>
      </c>
      <c r="G785" s="276">
        <f>ROUND(BB64,0)</f>
        <v>4579</v>
      </c>
      <c r="H785" s="276">
        <f>ROUND(BB65,0)</f>
        <v>0</v>
      </c>
      <c r="I785" s="276">
        <f>ROUND(BB66,0)</f>
        <v>0</v>
      </c>
      <c r="J785" s="276">
        <f>ROUND(BB67,0)</f>
        <v>45221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1309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926*2020*8370*A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30478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926*2020*8420*A</v>
      </c>
      <c r="B787" s="276"/>
      <c r="C787" s="278">
        <f>ROUND(BD60,2)</f>
        <v>0.55000000000000004</v>
      </c>
      <c r="D787" s="276">
        <f>ROUND(BD61,0)</f>
        <v>41109</v>
      </c>
      <c r="E787" s="276">
        <f>ROUND(BD62,0)</f>
        <v>8837</v>
      </c>
      <c r="F787" s="276">
        <f>ROUND(BD63,0)</f>
        <v>0</v>
      </c>
      <c r="G787" s="276">
        <f>ROUND(BD64,0)</f>
        <v>33740</v>
      </c>
      <c r="H787" s="276">
        <f>ROUND(BD65,0)</f>
        <v>0</v>
      </c>
      <c r="I787" s="276">
        <f>ROUND(BD66,0)</f>
        <v>0</v>
      </c>
      <c r="J787" s="276">
        <f>ROUND(BD67,0)</f>
        <v>9984</v>
      </c>
      <c r="K787" s="276">
        <f>ROUND(BD68,0)</f>
        <v>0</v>
      </c>
      <c r="L787" s="276">
        <f>ROUND(BD69,0)</f>
        <v>3318</v>
      </c>
      <c r="M787" s="276">
        <f>ROUND(BD70,0)</f>
        <v>0</v>
      </c>
      <c r="N787" s="276"/>
      <c r="O787" s="276"/>
      <c r="P787" s="276">
        <f>IF(BD76&gt;0,ROUND(BD76,0),0)</f>
        <v>289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926*2020*8430*A</v>
      </c>
      <c r="B788" s="276">
        <f>ROUND(BE59,0)</f>
        <v>68235</v>
      </c>
      <c r="C788" s="278">
        <f>ROUND(BE60,2)</f>
        <v>1.93</v>
      </c>
      <c r="D788" s="276">
        <f>ROUND(BE61,0)</f>
        <v>111347</v>
      </c>
      <c r="E788" s="276">
        <f>ROUND(BE62,0)</f>
        <v>23936</v>
      </c>
      <c r="F788" s="276">
        <f>ROUND(BE63,0)</f>
        <v>0</v>
      </c>
      <c r="G788" s="276">
        <f>ROUND(BE64,0)</f>
        <v>10776</v>
      </c>
      <c r="H788" s="276">
        <f>ROUND(BE65,0)</f>
        <v>158234</v>
      </c>
      <c r="I788" s="276">
        <f>ROUND(BE66,0)</f>
        <v>169664</v>
      </c>
      <c r="J788" s="276">
        <f>ROUND(BE67,0)</f>
        <v>734176</v>
      </c>
      <c r="K788" s="276">
        <f>ROUND(BE68,0)</f>
        <v>0</v>
      </c>
      <c r="L788" s="276">
        <f>ROUND(BE69,0)</f>
        <v>170230</v>
      </c>
      <c r="M788" s="276">
        <f>ROUND(BE70,0)</f>
        <v>0</v>
      </c>
      <c r="N788" s="276"/>
      <c r="O788" s="276"/>
      <c r="P788" s="276">
        <f>IF(BE76&gt;0,ROUND(BE76,0),0)</f>
        <v>21252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926*2020*8460*A</v>
      </c>
      <c r="B789" s="276"/>
      <c r="C789" s="278">
        <f>ROUND(BF60,2)</f>
        <v>4.76</v>
      </c>
      <c r="D789" s="276">
        <f>ROUND(BF61,0)</f>
        <v>184036</v>
      </c>
      <c r="E789" s="276">
        <f>ROUND(BF62,0)</f>
        <v>39562</v>
      </c>
      <c r="F789" s="276">
        <f>ROUND(BF63,0)</f>
        <v>0</v>
      </c>
      <c r="G789" s="276">
        <f>ROUND(BF64,0)</f>
        <v>38674</v>
      </c>
      <c r="H789" s="276">
        <f>ROUND(BF65,0)</f>
        <v>0</v>
      </c>
      <c r="I789" s="276">
        <f>ROUND(BF66,0)</f>
        <v>0</v>
      </c>
      <c r="J789" s="276">
        <f>ROUND(BF67,0)</f>
        <v>44115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1277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926*2020*8470*A</v>
      </c>
      <c r="B790" s="276"/>
      <c r="C790" s="278">
        <f>ROUND(BG60,2)</f>
        <v>5.64</v>
      </c>
      <c r="D790" s="276">
        <f>ROUND(BG61,0)</f>
        <v>248181</v>
      </c>
      <c r="E790" s="276">
        <f>ROUND(BG62,0)</f>
        <v>53351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7911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229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926*2020*8480*A</v>
      </c>
      <c r="B791" s="276"/>
      <c r="C791" s="278">
        <f>ROUND(BH60,2)</f>
        <v>0.77</v>
      </c>
      <c r="D791" s="276">
        <f>ROUND(BH61,0)</f>
        <v>57092</v>
      </c>
      <c r="E791" s="276">
        <f>ROUND(BH62,0)</f>
        <v>12273</v>
      </c>
      <c r="F791" s="276">
        <f>ROUND(BH63,0)</f>
        <v>0</v>
      </c>
      <c r="G791" s="276">
        <f>ROUND(BH64,0)</f>
        <v>13320</v>
      </c>
      <c r="H791" s="276">
        <f>ROUND(BH65,0)</f>
        <v>80779</v>
      </c>
      <c r="I791" s="276">
        <f>ROUND(BH66,0)</f>
        <v>59964</v>
      </c>
      <c r="J791" s="276">
        <f>ROUND(BH67,0)</f>
        <v>9915</v>
      </c>
      <c r="K791" s="276">
        <f>ROUND(BH68,0)</f>
        <v>0</v>
      </c>
      <c r="L791" s="276">
        <f>ROUND(BH69,0)</f>
        <v>7331</v>
      </c>
      <c r="M791" s="276">
        <f>ROUND(BH70,0)</f>
        <v>0</v>
      </c>
      <c r="N791" s="276"/>
      <c r="O791" s="276"/>
      <c r="P791" s="276">
        <f>IF(BH76&gt;0,ROUND(BH76,0),0)</f>
        <v>287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926*2020*8490*A</v>
      </c>
      <c r="B792" s="276"/>
      <c r="C792" s="278">
        <f>ROUND(BI60,2)</f>
        <v>2.52</v>
      </c>
      <c r="D792" s="276">
        <f>ROUND(BI61,0)</f>
        <v>10809</v>
      </c>
      <c r="E792" s="276">
        <f>ROUND(BI62,0)</f>
        <v>2324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144086</v>
      </c>
      <c r="J792" s="276">
        <f>ROUND(BI67,0)</f>
        <v>0</v>
      </c>
      <c r="K792" s="276">
        <f>ROUND(BI68,0)</f>
        <v>0</v>
      </c>
      <c r="L792" s="276">
        <f>ROUND(BI69,0)</f>
        <v>892300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926*2020*8510*A</v>
      </c>
      <c r="B793" s="276"/>
      <c r="C793" s="278">
        <f>ROUND(BJ60,2)</f>
        <v>2.78</v>
      </c>
      <c r="D793" s="276">
        <f>ROUND(BJ61,0)</f>
        <v>243072</v>
      </c>
      <c r="E793" s="276">
        <f>ROUND(BJ62,0)</f>
        <v>52253</v>
      </c>
      <c r="F793" s="276">
        <f>ROUND(BJ63,0)</f>
        <v>0</v>
      </c>
      <c r="G793" s="276">
        <f>ROUND(BJ64,0)</f>
        <v>76</v>
      </c>
      <c r="H793" s="276">
        <f>ROUND(BJ65,0)</f>
        <v>0</v>
      </c>
      <c r="I793" s="276">
        <f>ROUND(BJ66,0)</f>
        <v>0</v>
      </c>
      <c r="J793" s="276">
        <f>ROUND(BJ67,0)</f>
        <v>8291</v>
      </c>
      <c r="K793" s="276">
        <f>ROUND(BJ68,0)</f>
        <v>0</v>
      </c>
      <c r="L793" s="276">
        <f>ROUND(BJ69,0)</f>
        <v>11204</v>
      </c>
      <c r="M793" s="276">
        <f>ROUND(BJ70,0)</f>
        <v>0</v>
      </c>
      <c r="N793" s="276"/>
      <c r="O793" s="276"/>
      <c r="P793" s="276">
        <f>IF(BJ76&gt;0,ROUND(BJ76,0),0)</f>
        <v>240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926*2020*8530*A</v>
      </c>
      <c r="B794" s="276"/>
      <c r="C794" s="278">
        <f>ROUND(BK60,2)</f>
        <v>4.9400000000000004</v>
      </c>
      <c r="D794" s="276">
        <f>ROUND(BK61,0)</f>
        <v>277144</v>
      </c>
      <c r="E794" s="276">
        <f>ROUND(BK62,0)</f>
        <v>59577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113229</v>
      </c>
      <c r="J794" s="276">
        <f>ROUND(BK67,0)</f>
        <v>8602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249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926*2020*8560*A</v>
      </c>
      <c r="B795" s="276"/>
      <c r="C795" s="278">
        <f>ROUND(BL60,2)</f>
        <v>10.210000000000001</v>
      </c>
      <c r="D795" s="276">
        <f>ROUND(BL61,0)</f>
        <v>757343</v>
      </c>
      <c r="E795" s="276">
        <f>ROUND(BL62,0)</f>
        <v>162805</v>
      </c>
      <c r="F795" s="276">
        <f>ROUND(BL63,0)</f>
        <v>0</v>
      </c>
      <c r="G795" s="276">
        <f>ROUND(BL64,0)</f>
        <v>593</v>
      </c>
      <c r="H795" s="276">
        <f>ROUND(BL65,0)</f>
        <v>0</v>
      </c>
      <c r="I795" s="276">
        <f>ROUND(BL66,0)</f>
        <v>0</v>
      </c>
      <c r="J795" s="276">
        <f>ROUND(BL67,0)</f>
        <v>47156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1365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926*2020*8590*A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926*2020*8610*A</v>
      </c>
      <c r="B797" s="276"/>
      <c r="C797" s="278">
        <f>ROUND(BN60,2)</f>
        <v>2.04</v>
      </c>
      <c r="D797" s="276">
        <f>ROUND(BN61,0)</f>
        <v>288061</v>
      </c>
      <c r="E797" s="276">
        <f>ROUND(BN62,0)</f>
        <v>61924</v>
      </c>
      <c r="F797" s="276">
        <f>ROUND(BN63,0)</f>
        <v>0</v>
      </c>
      <c r="G797" s="276">
        <f>ROUND(BN64,0)</f>
        <v>2119</v>
      </c>
      <c r="H797" s="276">
        <f>ROUND(BN65,0)</f>
        <v>0</v>
      </c>
      <c r="I797" s="276">
        <f>ROUND(BN66,0)</f>
        <v>28734</v>
      </c>
      <c r="J797" s="276">
        <f>ROUND(BN67,0)</f>
        <v>218885</v>
      </c>
      <c r="K797" s="276">
        <f>ROUND(BN68,0)</f>
        <v>902</v>
      </c>
      <c r="L797" s="276">
        <f>ROUND(BN69,0)</f>
        <v>714717</v>
      </c>
      <c r="M797" s="276">
        <f>ROUND(BN70,0)</f>
        <v>0</v>
      </c>
      <c r="N797" s="276"/>
      <c r="O797" s="276"/>
      <c r="P797" s="276">
        <f>IF(BN76&gt;0,ROUND(BN76,0),0)</f>
        <v>6336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926*2020*8620*A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58423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926*2020*8630*A</v>
      </c>
      <c r="B799" s="276"/>
      <c r="C799" s="278">
        <f>ROUND(BP60,2)</f>
        <v>2.27</v>
      </c>
      <c r="D799" s="276">
        <f>ROUND(BP61,0)</f>
        <v>185511</v>
      </c>
      <c r="E799" s="276">
        <f>ROUND(BP62,0)</f>
        <v>39879</v>
      </c>
      <c r="F799" s="276">
        <f>ROUND(BP63,0)</f>
        <v>0</v>
      </c>
      <c r="G799" s="276">
        <f>ROUND(BP64,0)</f>
        <v>704</v>
      </c>
      <c r="H799" s="276">
        <f>ROUND(BP65,0)</f>
        <v>0</v>
      </c>
      <c r="I799" s="276">
        <f>ROUND(BP66,0)</f>
        <v>26</v>
      </c>
      <c r="J799" s="276">
        <f>ROUND(BP67,0)</f>
        <v>3938</v>
      </c>
      <c r="K799" s="276">
        <f>ROUND(BP68,0)</f>
        <v>0</v>
      </c>
      <c r="L799" s="276">
        <f>ROUND(BP69,0)</f>
        <v>51808</v>
      </c>
      <c r="M799" s="276">
        <f>ROUND(BP70,0)</f>
        <v>0</v>
      </c>
      <c r="N799" s="276"/>
      <c r="O799" s="276"/>
      <c r="P799" s="276">
        <f>IF(BP76&gt;0,ROUND(BP76,0),0)</f>
        <v>114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926*2020*8640*A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926*2020*8650*A</v>
      </c>
      <c r="B801" s="276"/>
      <c r="C801" s="278">
        <f>ROUND(BR60,2)</f>
        <v>2.12</v>
      </c>
      <c r="D801" s="276">
        <f>ROUND(BR61,0)</f>
        <v>152871</v>
      </c>
      <c r="E801" s="276">
        <f>ROUND(BR62,0)</f>
        <v>32862</v>
      </c>
      <c r="F801" s="276">
        <f>ROUND(BR63,0)</f>
        <v>0</v>
      </c>
      <c r="G801" s="276">
        <f>ROUND(BR64,0)</f>
        <v>1222</v>
      </c>
      <c r="H801" s="276">
        <f>ROUND(BR65,0)</f>
        <v>0</v>
      </c>
      <c r="I801" s="276">
        <f>ROUND(BR66,0)</f>
        <v>0</v>
      </c>
      <c r="J801" s="276">
        <f>ROUND(BR67,0)</f>
        <v>6702</v>
      </c>
      <c r="K801" s="276">
        <f>ROUND(BR68,0)</f>
        <v>0</v>
      </c>
      <c r="L801" s="276">
        <f>ROUND(BR69,0)</f>
        <v>56263</v>
      </c>
      <c r="M801" s="276">
        <f>ROUND(BR70,0)</f>
        <v>0</v>
      </c>
      <c r="N801" s="276"/>
      <c r="O801" s="276"/>
      <c r="P801" s="276">
        <f>IF(BR76&gt;0,ROUND(BR76,0),0)</f>
        <v>194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926*2020*8660*A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926*2020*8670*A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926*2020*8680*A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926*2020*8690*A</v>
      </c>
      <c r="B805" s="276"/>
      <c r="C805" s="278">
        <f>ROUND(BV60,2)</f>
        <v>2.33</v>
      </c>
      <c r="D805" s="276">
        <f>ROUND(BV61,0)</f>
        <v>128771</v>
      </c>
      <c r="E805" s="276">
        <f>ROUND(BV62,0)</f>
        <v>27682</v>
      </c>
      <c r="F805" s="276">
        <f>ROUND(BV63,0)</f>
        <v>0</v>
      </c>
      <c r="G805" s="276">
        <f>ROUND(BV64,0)</f>
        <v>9285</v>
      </c>
      <c r="H805" s="276">
        <f>ROUND(BV65,0)</f>
        <v>0</v>
      </c>
      <c r="I805" s="276">
        <f>ROUND(BV66,0)</f>
        <v>0</v>
      </c>
      <c r="J805" s="276">
        <f>ROUND(BV67,0)</f>
        <v>14924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432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926*2020*8700*A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3502624</v>
      </c>
      <c r="G806" s="276">
        <f>ROUND(BW64,0)</f>
        <v>0</v>
      </c>
      <c r="H806" s="276">
        <f>ROUND(BW65,0)</f>
        <v>0</v>
      </c>
      <c r="I806" s="276">
        <f>ROUND(BW66,0)</f>
        <v>19013</v>
      </c>
      <c r="J806" s="276">
        <f>ROUND(BW67,0)</f>
        <v>40730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1179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926*2020*8710*A</v>
      </c>
      <c r="B807" s="276"/>
      <c r="C807" s="278">
        <f>ROUND(BX60,2)</f>
        <v>3.23</v>
      </c>
      <c r="D807" s="276">
        <f>ROUND(BX61,0)</f>
        <v>237944</v>
      </c>
      <c r="E807" s="276">
        <f>ROUND(BX62,0)</f>
        <v>51150</v>
      </c>
      <c r="F807" s="276">
        <f>ROUND(BX63,0)</f>
        <v>0</v>
      </c>
      <c r="G807" s="276">
        <f>ROUND(BX64,0)</f>
        <v>131</v>
      </c>
      <c r="H807" s="276">
        <f>ROUND(BX65,0)</f>
        <v>0</v>
      </c>
      <c r="I807" s="276">
        <f>ROUND(BX66,0)</f>
        <v>0</v>
      </c>
      <c r="J807" s="276">
        <f>ROUND(BX67,0)</f>
        <v>11469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332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926*2020*8720*A</v>
      </c>
      <c r="B808" s="276"/>
      <c r="C808" s="278">
        <f>ROUND(BY60,2)</f>
        <v>8.3699999999999992</v>
      </c>
      <c r="D808" s="276">
        <f>ROUND(BY61,0)</f>
        <v>844961</v>
      </c>
      <c r="E808" s="276">
        <f>ROUND(BY62,0)</f>
        <v>181640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16548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479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926*2020*8730*A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926*2020*8740*A</v>
      </c>
      <c r="B810" s="276"/>
      <c r="C810" s="278">
        <f>ROUND(CA60,2)</f>
        <v>5.37</v>
      </c>
      <c r="D810" s="276">
        <f>ROUND(CA61,0)</f>
        <v>341420</v>
      </c>
      <c r="E810" s="276">
        <f>ROUND(CA62,0)</f>
        <v>73395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926*2020*8770*A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926*2020*8790*A</v>
      </c>
      <c r="B812" s="276"/>
      <c r="C812" s="278">
        <f>ROUND(CC60,2)</f>
        <v>1.25</v>
      </c>
      <c r="D812" s="276">
        <f>ROUND(CC61,0)</f>
        <v>107289</v>
      </c>
      <c r="E812" s="276">
        <f>ROUND(CC62,0)</f>
        <v>23064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0</v>
      </c>
      <c r="J812" s="276">
        <f>ROUND(CC67,0)</f>
        <v>3386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98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926*2020*9000*A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4">SUM(C734:C813)</f>
        <v>154.80000000000004</v>
      </c>
      <c r="D815" s="277">
        <f t="shared" si="24"/>
        <v>10330848</v>
      </c>
      <c r="E815" s="277">
        <f t="shared" si="24"/>
        <v>2220808</v>
      </c>
      <c r="F815" s="277">
        <f t="shared" si="24"/>
        <v>3502624</v>
      </c>
      <c r="G815" s="277">
        <f t="shared" si="24"/>
        <v>788919</v>
      </c>
      <c r="H815" s="277">
        <f t="shared" si="24"/>
        <v>239013</v>
      </c>
      <c r="I815" s="277">
        <f t="shared" si="24"/>
        <v>840458</v>
      </c>
      <c r="J815" s="277">
        <f t="shared" si="24"/>
        <v>2357261</v>
      </c>
      <c r="K815" s="277">
        <f t="shared" si="24"/>
        <v>2168</v>
      </c>
      <c r="L815" s="277">
        <f>SUM(L734:L813)+SUM(U734:U813)</f>
        <v>1907171</v>
      </c>
      <c r="M815" s="277">
        <f>SUM(M734:M813)+SUM(V734:V813)</f>
        <v>0</v>
      </c>
      <c r="N815" s="277">
        <f t="shared" ref="N815:Y815" si="25">SUM(N734:N813)</f>
        <v>24438700</v>
      </c>
      <c r="O815" s="277">
        <f t="shared" si="25"/>
        <v>23668210</v>
      </c>
      <c r="P815" s="277">
        <f t="shared" si="25"/>
        <v>68235</v>
      </c>
      <c r="Q815" s="277">
        <f t="shared" si="25"/>
        <v>69486</v>
      </c>
      <c r="R815" s="277">
        <f t="shared" si="25"/>
        <v>8994</v>
      </c>
      <c r="S815" s="277">
        <f t="shared" si="25"/>
        <v>77361</v>
      </c>
      <c r="T815" s="281">
        <f t="shared" si="25"/>
        <v>66.540000000000006</v>
      </c>
      <c r="U815" s="277">
        <f t="shared" si="25"/>
        <v>0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14403327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154.78208812260539</v>
      </c>
      <c r="D816" s="277">
        <f>CE61</f>
        <v>10330847</v>
      </c>
      <c r="E816" s="277">
        <f>CE62</f>
        <v>2220808</v>
      </c>
      <c r="F816" s="277">
        <f>CE63</f>
        <v>3502624</v>
      </c>
      <c r="G816" s="277">
        <f>CE64</f>
        <v>788919</v>
      </c>
      <c r="H816" s="280">
        <f>CE65</f>
        <v>239013</v>
      </c>
      <c r="I816" s="280">
        <f>CE66</f>
        <v>840458</v>
      </c>
      <c r="J816" s="280">
        <f>CE67</f>
        <v>2357261</v>
      </c>
      <c r="K816" s="280">
        <f>CE68</f>
        <v>2168</v>
      </c>
      <c r="L816" s="280">
        <f>CE69</f>
        <v>1907171.01</v>
      </c>
      <c r="M816" s="280">
        <f>CE70</f>
        <v>0</v>
      </c>
      <c r="N816" s="277">
        <f>CE75</f>
        <v>24438700</v>
      </c>
      <c r="O816" s="277">
        <f>CE73</f>
        <v>23668210</v>
      </c>
      <c r="P816" s="277">
        <f>CE76</f>
        <v>68235</v>
      </c>
      <c r="Q816" s="277">
        <f>CE77</f>
        <v>69486</v>
      </c>
      <c r="R816" s="277">
        <f>CE78</f>
        <v>8993.5910832462559</v>
      </c>
      <c r="S816" s="277">
        <f>CE79</f>
        <v>77361.08</v>
      </c>
      <c r="T816" s="281">
        <f>CE80</f>
        <v>66.53879310344827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14403327.01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10330847</v>
      </c>
      <c r="E817" s="180">
        <f>C379</f>
        <v>2220806</v>
      </c>
      <c r="F817" s="180">
        <f>C380</f>
        <v>3502624</v>
      </c>
      <c r="G817" s="240">
        <f>C381</f>
        <v>788919</v>
      </c>
      <c r="H817" s="240">
        <f>C382</f>
        <v>239013</v>
      </c>
      <c r="I817" s="240">
        <f>C383</f>
        <v>840458</v>
      </c>
      <c r="J817" s="240">
        <f>C384</f>
        <v>2357261</v>
      </c>
      <c r="K817" s="240">
        <f>C385</f>
        <v>2168</v>
      </c>
      <c r="L817" s="240">
        <f>C386+C387+C388+C389</f>
        <v>1910638</v>
      </c>
      <c r="M817" s="240">
        <f>C370</f>
        <v>163749</v>
      </c>
      <c r="N817" s="180">
        <f>D361</f>
        <v>47706164</v>
      </c>
      <c r="O817" s="180">
        <f>C359</f>
        <v>46294164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375" transitionEvaluation="1" transitionEntry="1">
    <pageSetUpPr autoPageBreaks="0" fitToPage="1"/>
  </sheetPr>
  <dimension ref="A1:CF817"/>
  <sheetViews>
    <sheetView showGridLines="0" topLeftCell="A43" zoomScale="115" zoomScaleNormal="115" workbookViewId="0">
      <pane xSplit="2" ySplit="1" topLeftCell="C375" activePane="bottomRight" state="frozen"/>
      <selection activeCell="A43" sqref="A43"/>
      <selection pane="topRight" activeCell="C43" sqref="C43"/>
      <selection pane="bottomLeft" activeCell="A44" sqref="A44"/>
      <selection pane="bottomRight" activeCell="C359" sqref="C359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1499283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535929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55242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25738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21119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49545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84158</v>
      </c>
      <c r="BC48" s="195">
        <f>ROUND(((B48/CE61)*BC61),0)</f>
        <v>0</v>
      </c>
      <c r="BD48" s="195">
        <f>ROUND(((B48/CE61)*BD61),0)</f>
        <v>7508</v>
      </c>
      <c r="BE48" s="195">
        <f>ROUND(((B48/CE61)*BE61),0)</f>
        <v>30009</v>
      </c>
      <c r="BF48" s="195">
        <f>ROUND(((B48/CE61)*BF61),0)</f>
        <v>23614</v>
      </c>
      <c r="BG48" s="195">
        <f>ROUND(((B48/CE61)*BG61),0)</f>
        <v>21111</v>
      </c>
      <c r="BH48" s="195">
        <f>ROUND(((B48/CE61)*BH61),0)</f>
        <v>7507</v>
      </c>
      <c r="BI48" s="195">
        <f>ROUND(((B48/CE61)*BI61),0)</f>
        <v>11806</v>
      </c>
      <c r="BJ48" s="195">
        <f>ROUND(((B48/CE61)*BJ61),0)</f>
        <v>42066</v>
      </c>
      <c r="BK48" s="195">
        <f>ROUND(((B48/CE61)*BK61),0)</f>
        <v>38405</v>
      </c>
      <c r="BL48" s="195">
        <f>ROUND(((B48/CE61)*BL61),0)</f>
        <v>130678</v>
      </c>
      <c r="BM48" s="195">
        <f>ROUND(((B48/CE61)*BM61),0)</f>
        <v>0</v>
      </c>
      <c r="BN48" s="195">
        <f>ROUND(((B48/CE61)*BN61),0)</f>
        <v>61027</v>
      </c>
      <c r="BO48" s="195">
        <f>ROUND(((B48/CE61)*BO61),0)</f>
        <v>0</v>
      </c>
      <c r="BP48" s="195">
        <f>ROUND(((B48/CE61)*BP61),0)</f>
        <v>35141</v>
      </c>
      <c r="BQ48" s="195">
        <f>ROUND(((B48/CE61)*BQ61),0)</f>
        <v>0</v>
      </c>
      <c r="BR48" s="195">
        <f>ROUND(((B48/CE61)*BR61),0)</f>
        <v>28116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21222</v>
      </c>
      <c r="BW48" s="195">
        <f>ROUND(((B48/CE61)*BW61),0)</f>
        <v>0</v>
      </c>
      <c r="BX48" s="195">
        <f>ROUND(((B48/CE61)*BX61),0)</f>
        <v>31550</v>
      </c>
      <c r="BY48" s="195">
        <f>ROUND(((B48/CE61)*BY61),0)</f>
        <v>165033</v>
      </c>
      <c r="BZ48" s="195">
        <f>ROUND(((B48/CE61)*BZ61),0)</f>
        <v>0</v>
      </c>
      <c r="CA48" s="195">
        <f>ROUND(((B48/CE61)*CA61),0)</f>
        <v>52964</v>
      </c>
      <c r="CB48" s="195">
        <f>ROUND(((B48/CE61)*CB61),0)</f>
        <v>0</v>
      </c>
      <c r="CC48" s="195">
        <f>ROUND(((B48/CE61)*CC61),0)</f>
        <v>19794</v>
      </c>
      <c r="CD48" s="195"/>
      <c r="CE48" s="195">
        <f>SUM(C48:CD48)</f>
        <v>1499282</v>
      </c>
    </row>
    <row r="49" spans="1:84" ht="12.65" customHeight="1" x14ac:dyDescent="0.3">
      <c r="A49" s="175" t="s">
        <v>206</v>
      </c>
      <c r="B49" s="195">
        <f>B47+B48</f>
        <v>1499283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2312733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918857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2203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25556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881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90801</v>
      </c>
      <c r="AZ52" s="195">
        <f>ROUND((B52/(CE76+CF76)*AZ76),0)</f>
        <v>65754</v>
      </c>
      <c r="BA52" s="195">
        <f>ROUND((B52/(CE76+CF76)*BA76),0)</f>
        <v>0</v>
      </c>
      <c r="BB52" s="195">
        <f>ROUND((B52/(CE76+CF76)*BB76),0)</f>
        <v>44367</v>
      </c>
      <c r="BC52" s="195">
        <f>ROUND((B52/(CE76+CF76)*BC76),0)</f>
        <v>0</v>
      </c>
      <c r="BD52" s="195">
        <f>ROUND((B52/(CE76+CF76)*BD76),0)</f>
        <v>9795</v>
      </c>
      <c r="BE52" s="195">
        <f>ROUND((B52/(CE76+CF76)*BE76),0)</f>
        <v>720308</v>
      </c>
      <c r="BF52" s="195">
        <f>ROUND((B52/(CE76+CF76)*BF76),0)</f>
        <v>43282</v>
      </c>
      <c r="BG52" s="195">
        <f>ROUND((B52/(CE76+CF76)*BG76),0)</f>
        <v>7762</v>
      </c>
      <c r="BH52" s="195">
        <f>ROUND((B52/(CE76+CF76)*BH76),0)</f>
        <v>9727</v>
      </c>
      <c r="BI52" s="195">
        <f>ROUND((B52/(CE76+CF76)*BI76),0)</f>
        <v>0</v>
      </c>
      <c r="BJ52" s="195">
        <f>ROUND((B52/(CE76+CF76)*BJ76),0)</f>
        <v>8134</v>
      </c>
      <c r="BK52" s="195">
        <f>ROUND((B52/(CE76+CF76)*BK76),0)</f>
        <v>8440</v>
      </c>
      <c r="BL52" s="195">
        <f>ROUND((B52/(CE76+CF76)*BL76),0)</f>
        <v>46265</v>
      </c>
      <c r="BM52" s="195">
        <f>ROUND((B52/(CE76+CF76)*BM76),0)</f>
        <v>0</v>
      </c>
      <c r="BN52" s="195">
        <f>ROUND((B52/(CE76+CF76)*BN76),0)</f>
        <v>214750</v>
      </c>
      <c r="BO52" s="195">
        <f>ROUND((B52/(CE76+CF76)*BO76),0)</f>
        <v>0</v>
      </c>
      <c r="BP52" s="195">
        <f>ROUND((B52/(CE76+CF76)*BP76),0)</f>
        <v>3864</v>
      </c>
      <c r="BQ52" s="195">
        <f>ROUND((B52/(CE76+CF76)*BQ76),0)</f>
        <v>0</v>
      </c>
      <c r="BR52" s="195">
        <f>ROUND((B52/(CE76+CF76)*BR76),0)</f>
        <v>6575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14642</v>
      </c>
      <c r="BW52" s="195">
        <f>ROUND((B52/(CE76+CF76)*BW76),0)</f>
        <v>39961</v>
      </c>
      <c r="BX52" s="195">
        <f>ROUND((B52/(CE76+CF76)*BX76),0)</f>
        <v>11253</v>
      </c>
      <c r="BY52" s="195">
        <f>ROUND((B52/(CE76+CF76)*BY76),0)</f>
        <v>16235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3322</v>
      </c>
      <c r="CD52" s="195"/>
      <c r="CE52" s="195">
        <f>SUM(C52:CD52)</f>
        <v>2312734</v>
      </c>
    </row>
    <row r="53" spans="1:84" ht="12.65" customHeight="1" x14ac:dyDescent="0.3">
      <c r="A53" s="175" t="s">
        <v>206</v>
      </c>
      <c r="B53" s="195">
        <f>B51+B52</f>
        <v>2312733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>
        <v>13862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f>H59*3</f>
        <v>41586</v>
      </c>
      <c r="AZ59" s="185"/>
      <c r="BA59" s="248"/>
      <c r="BB59" s="248"/>
      <c r="BC59" s="248"/>
      <c r="BD59" s="248"/>
      <c r="BE59" s="185">
        <v>68235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/>
      <c r="D60" s="187"/>
      <c r="E60" s="187"/>
      <c r="F60" s="223"/>
      <c r="G60" s="187"/>
      <c r="H60" s="187">
        <v>41.23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2.27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3</v>
      </c>
      <c r="AN60" s="221"/>
      <c r="AO60" s="221"/>
      <c r="AP60" s="221"/>
      <c r="AQ60" s="221"/>
      <c r="AR60" s="221"/>
      <c r="AS60" s="221"/>
      <c r="AT60" s="221"/>
      <c r="AU60" s="221">
        <v>1.59</v>
      </c>
      <c r="AV60" s="221"/>
      <c r="AW60" s="221"/>
      <c r="AX60" s="221"/>
      <c r="AY60" s="221">
        <v>5.73</v>
      </c>
      <c r="AZ60" s="221"/>
      <c r="BA60" s="221"/>
      <c r="BB60" s="221">
        <v>7.01</v>
      </c>
      <c r="BC60" s="221"/>
      <c r="BD60" s="221">
        <f>1.07/2</f>
        <v>0.53500000000000003</v>
      </c>
      <c r="BE60" s="221">
        <v>2.02</v>
      </c>
      <c r="BF60" s="221">
        <v>3.32</v>
      </c>
      <c r="BG60" s="221">
        <v>2.88</v>
      </c>
      <c r="BH60" s="221">
        <f>1.07/2</f>
        <v>0.53500000000000003</v>
      </c>
      <c r="BI60" s="221">
        <f>0.85+0.59+0.08+0.09</f>
        <v>1.61</v>
      </c>
      <c r="BJ60" s="221">
        <v>2.3199999999999998</v>
      </c>
      <c r="BK60" s="221">
        <v>3.8</v>
      </c>
      <c r="BL60" s="221">
        <v>9.14</v>
      </c>
      <c r="BM60" s="221"/>
      <c r="BN60" s="221">
        <v>1.94</v>
      </c>
      <c r="BO60" s="221"/>
      <c r="BP60" s="221">
        <v>2.2400000000000002</v>
      </c>
      <c r="BQ60" s="221"/>
      <c r="BR60" s="221">
        <v>2.0699999999999998</v>
      </c>
      <c r="BS60" s="221"/>
      <c r="BT60" s="221"/>
      <c r="BU60" s="221"/>
      <c r="BV60" s="221">
        <v>1.88</v>
      </c>
      <c r="BW60" s="221"/>
      <c r="BX60" s="221">
        <v>2.0699999999999998</v>
      </c>
      <c r="BY60" s="221">
        <v>8.44</v>
      </c>
      <c r="BZ60" s="221"/>
      <c r="CA60" s="221">
        <f>1.07+3.29</f>
        <v>4.3600000000000003</v>
      </c>
      <c r="CB60" s="221"/>
      <c r="CC60" s="221">
        <v>1.04</v>
      </c>
      <c r="CD60" s="249" t="s">
        <v>221</v>
      </c>
      <c r="CE60" s="251">
        <f t="shared" ref="CE60:CE70" si="0">SUM(C60:CD60)</f>
        <v>111.02999999999996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>
        <v>2688652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277136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129122</v>
      </c>
      <c r="AN61" s="185"/>
      <c r="AO61" s="185"/>
      <c r="AP61" s="185"/>
      <c r="AQ61" s="185"/>
      <c r="AR61" s="185"/>
      <c r="AS61" s="185"/>
      <c r="AT61" s="185"/>
      <c r="AU61" s="185">
        <v>105951</v>
      </c>
      <c r="AV61" s="185"/>
      <c r="AW61" s="185"/>
      <c r="AX61" s="185"/>
      <c r="AY61" s="185">
        <v>248557</v>
      </c>
      <c r="AZ61" s="185"/>
      <c r="BA61" s="185"/>
      <c r="BB61" s="185">
        <v>422205</v>
      </c>
      <c r="BC61" s="185"/>
      <c r="BD61" s="185">
        <v>37664</v>
      </c>
      <c r="BE61" s="185">
        <v>150547</v>
      </c>
      <c r="BF61" s="185">
        <v>118468</v>
      </c>
      <c r="BG61" s="185">
        <v>105910</v>
      </c>
      <c r="BH61" s="185">
        <v>37663</v>
      </c>
      <c r="BI61" s="185">
        <v>59226</v>
      </c>
      <c r="BJ61" s="185">
        <v>211035</v>
      </c>
      <c r="BK61" s="185">
        <v>192669</v>
      </c>
      <c r="BL61" s="185">
        <v>655588</v>
      </c>
      <c r="BM61" s="185"/>
      <c r="BN61" s="185">
        <v>306159</v>
      </c>
      <c r="BO61" s="185"/>
      <c r="BP61" s="185">
        <v>176295</v>
      </c>
      <c r="BQ61" s="185"/>
      <c r="BR61" s="185">
        <v>141054</v>
      </c>
      <c r="BS61" s="185"/>
      <c r="BT61" s="185"/>
      <c r="BU61" s="185"/>
      <c r="BV61" s="185">
        <v>106468</v>
      </c>
      <c r="BW61" s="185"/>
      <c r="BX61" s="185">
        <v>158282</v>
      </c>
      <c r="BY61" s="185">
        <v>827939</v>
      </c>
      <c r="BZ61" s="185"/>
      <c r="CA61" s="185">
        <v>265712</v>
      </c>
      <c r="CB61" s="185"/>
      <c r="CC61" s="185">
        <v>99305</v>
      </c>
      <c r="CD61" s="249" t="s">
        <v>221</v>
      </c>
      <c r="CE61" s="195">
        <f t="shared" si="0"/>
        <v>7521607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535929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55242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25738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21119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49545</v>
      </c>
      <c r="AZ62" s="195">
        <f>ROUND(AZ47+AZ48,0)</f>
        <v>0</v>
      </c>
      <c r="BA62" s="195">
        <f>ROUND(BA47+BA48,0)</f>
        <v>0</v>
      </c>
      <c r="BB62" s="195">
        <f t="shared" si="1"/>
        <v>84158</v>
      </c>
      <c r="BC62" s="195">
        <f t="shared" si="1"/>
        <v>0</v>
      </c>
      <c r="BD62" s="195">
        <f t="shared" si="1"/>
        <v>7508</v>
      </c>
      <c r="BE62" s="195">
        <f t="shared" si="1"/>
        <v>30009</v>
      </c>
      <c r="BF62" s="195">
        <f t="shared" si="1"/>
        <v>23614</v>
      </c>
      <c r="BG62" s="195">
        <f t="shared" si="1"/>
        <v>21111</v>
      </c>
      <c r="BH62" s="195">
        <f t="shared" si="1"/>
        <v>7507</v>
      </c>
      <c r="BI62" s="195">
        <f t="shared" si="1"/>
        <v>11806</v>
      </c>
      <c r="BJ62" s="195">
        <f t="shared" si="1"/>
        <v>42066</v>
      </c>
      <c r="BK62" s="195">
        <f t="shared" si="1"/>
        <v>38405</v>
      </c>
      <c r="BL62" s="195">
        <f t="shared" si="1"/>
        <v>130678</v>
      </c>
      <c r="BM62" s="195">
        <f t="shared" si="1"/>
        <v>0</v>
      </c>
      <c r="BN62" s="195">
        <f t="shared" si="1"/>
        <v>61027</v>
      </c>
      <c r="BO62" s="195">
        <f t="shared" ref="BO62:CC62" si="2">ROUND(BO47+BO48,0)</f>
        <v>0</v>
      </c>
      <c r="BP62" s="195">
        <f t="shared" si="2"/>
        <v>35141</v>
      </c>
      <c r="BQ62" s="195">
        <f t="shared" si="2"/>
        <v>0</v>
      </c>
      <c r="BR62" s="195">
        <f t="shared" si="2"/>
        <v>28116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21222</v>
      </c>
      <c r="BW62" s="195">
        <f t="shared" si="2"/>
        <v>0</v>
      </c>
      <c r="BX62" s="195">
        <f t="shared" si="2"/>
        <v>31550</v>
      </c>
      <c r="BY62" s="195">
        <f t="shared" si="2"/>
        <v>165033</v>
      </c>
      <c r="BZ62" s="195">
        <f t="shared" si="2"/>
        <v>0</v>
      </c>
      <c r="CA62" s="195">
        <f t="shared" si="2"/>
        <v>52964</v>
      </c>
      <c r="CB62" s="195">
        <f t="shared" si="2"/>
        <v>0</v>
      </c>
      <c r="CC62" s="195">
        <f t="shared" si="2"/>
        <v>19794</v>
      </c>
      <c r="CD62" s="249" t="s">
        <v>221</v>
      </c>
      <c r="CE62" s="195">
        <f t="shared" si="0"/>
        <v>1499282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1986416</v>
      </c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1986416</v>
      </c>
      <c r="CF63" s="252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>
        <v>58434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147256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5873</v>
      </c>
      <c r="AN64" s="185"/>
      <c r="AO64" s="185"/>
      <c r="AP64" s="185"/>
      <c r="AQ64" s="185"/>
      <c r="AR64" s="185"/>
      <c r="AS64" s="185"/>
      <c r="AT64" s="185"/>
      <c r="AU64" s="185">
        <v>2128</v>
      </c>
      <c r="AV64" s="185"/>
      <c r="AW64" s="185"/>
      <c r="AX64" s="185"/>
      <c r="AY64" s="185">
        <f>166784+1038-8225+14649</f>
        <v>174246</v>
      </c>
      <c r="AZ64" s="185"/>
      <c r="BA64" s="185"/>
      <c r="BB64" s="185">
        <v>1416</v>
      </c>
      <c r="BC64" s="185"/>
      <c r="BD64" s="185">
        <f>38853+1548-4239</f>
        <v>36162</v>
      </c>
      <c r="BE64" s="185">
        <f>10465+635</f>
        <v>11100</v>
      </c>
      <c r="BF64" s="185">
        <v>24047</v>
      </c>
      <c r="BG64" s="185"/>
      <c r="BH64" s="185">
        <v>5065</v>
      </c>
      <c r="BI64" s="185">
        <f>791+280</f>
        <v>1071</v>
      </c>
      <c r="BJ64" s="185">
        <v>703</v>
      </c>
      <c r="BK64" s="185">
        <v>64</v>
      </c>
      <c r="BL64" s="185">
        <v>944</v>
      </c>
      <c r="BM64" s="185"/>
      <c r="BN64" s="185">
        <v>2600</v>
      </c>
      <c r="BO64" s="185"/>
      <c r="BP64" s="185">
        <v>1371</v>
      </c>
      <c r="BQ64" s="185"/>
      <c r="BR64" s="185">
        <v>1251</v>
      </c>
      <c r="BS64" s="185"/>
      <c r="BT64" s="185"/>
      <c r="BU64" s="185"/>
      <c r="BV64" s="185">
        <v>11929</v>
      </c>
      <c r="BW64" s="185">
        <v>360</v>
      </c>
      <c r="BX64" s="185"/>
      <c r="BY64" s="185"/>
      <c r="BZ64" s="185"/>
      <c r="CA64" s="185"/>
      <c r="CB64" s="185"/>
      <c r="CC64" s="185">
        <v>521</v>
      </c>
      <c r="CD64" s="249" t="s">
        <v>221</v>
      </c>
      <c r="CE64" s="195">
        <f t="shared" si="0"/>
        <v>486541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138720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138720</v>
      </c>
      <c r="CF65" s="252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>
        <f>3384+202379</f>
        <v>205763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71101</v>
      </c>
      <c r="V66" s="185"/>
      <c r="W66" s="185"/>
      <c r="X66" s="185"/>
      <c r="Y66" s="185"/>
      <c r="Z66" s="185"/>
      <c r="AA66" s="185"/>
      <c r="AB66" s="185">
        <v>73716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1360</v>
      </c>
      <c r="AZ66" s="185"/>
      <c r="BA66" s="185">
        <v>32860</v>
      </c>
      <c r="BB66" s="185">
        <v>725</v>
      </c>
      <c r="BC66" s="185">
        <v>20054</v>
      </c>
      <c r="BD66" s="185">
        <v>290</v>
      </c>
      <c r="BE66" s="185">
        <f>29700+17426</f>
        <v>47126</v>
      </c>
      <c r="BF66" s="185">
        <v>7402</v>
      </c>
      <c r="BG66" s="185"/>
      <c r="BH66" s="185">
        <v>8650</v>
      </c>
      <c r="BI66" s="185"/>
      <c r="BJ66" s="185"/>
      <c r="BK66" s="185">
        <v>36109</v>
      </c>
      <c r="BL66" s="185"/>
      <c r="BM66" s="185"/>
      <c r="BN66" s="185">
        <v>15323</v>
      </c>
      <c r="BO66" s="185"/>
      <c r="BP66" s="185">
        <v>169</v>
      </c>
      <c r="BQ66" s="185"/>
      <c r="BR66" s="185"/>
      <c r="BS66" s="185"/>
      <c r="BT66" s="185"/>
      <c r="BU66" s="185"/>
      <c r="BV66" s="185"/>
      <c r="BW66" s="185">
        <v>4727</v>
      </c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525375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918857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2203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25556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881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90801</v>
      </c>
      <c r="AZ67" s="195">
        <f>ROUND(AZ51+AZ52,0)</f>
        <v>65754</v>
      </c>
      <c r="BA67" s="195">
        <f>ROUND(BA51+BA52,0)</f>
        <v>0</v>
      </c>
      <c r="BB67" s="195">
        <f t="shared" si="3"/>
        <v>44367</v>
      </c>
      <c r="BC67" s="195">
        <f t="shared" si="3"/>
        <v>0</v>
      </c>
      <c r="BD67" s="195">
        <f t="shared" si="3"/>
        <v>9795</v>
      </c>
      <c r="BE67" s="195">
        <f t="shared" si="3"/>
        <v>720308</v>
      </c>
      <c r="BF67" s="195">
        <f t="shared" si="3"/>
        <v>43282</v>
      </c>
      <c r="BG67" s="195">
        <f t="shared" si="3"/>
        <v>7762</v>
      </c>
      <c r="BH67" s="195">
        <f t="shared" si="3"/>
        <v>9727</v>
      </c>
      <c r="BI67" s="195">
        <f t="shared" si="3"/>
        <v>0</v>
      </c>
      <c r="BJ67" s="195">
        <f t="shared" si="3"/>
        <v>8134</v>
      </c>
      <c r="BK67" s="195">
        <f t="shared" si="3"/>
        <v>8440</v>
      </c>
      <c r="BL67" s="195">
        <f t="shared" si="3"/>
        <v>46265</v>
      </c>
      <c r="BM67" s="195">
        <f t="shared" si="3"/>
        <v>0</v>
      </c>
      <c r="BN67" s="195">
        <f t="shared" si="3"/>
        <v>214750</v>
      </c>
      <c r="BO67" s="195">
        <f t="shared" si="3"/>
        <v>0</v>
      </c>
      <c r="BP67" s="195">
        <f t="shared" si="3"/>
        <v>3864</v>
      </c>
      <c r="BQ67" s="195">
        <f t="shared" ref="BQ67:CC67" si="4">ROUND(BQ51+BQ52,0)</f>
        <v>0</v>
      </c>
      <c r="BR67" s="195">
        <f t="shared" si="4"/>
        <v>6575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14642</v>
      </c>
      <c r="BW67" s="195">
        <f t="shared" si="4"/>
        <v>39961</v>
      </c>
      <c r="BX67" s="195">
        <f t="shared" si="4"/>
        <v>11253</v>
      </c>
      <c r="BY67" s="195">
        <f t="shared" si="4"/>
        <v>16235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3322</v>
      </c>
      <c r="CD67" s="249" t="s">
        <v>221</v>
      </c>
      <c r="CE67" s="195">
        <f t="shared" si="0"/>
        <v>2312734</v>
      </c>
      <c r="CF67" s="252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>
        <v>576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1078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1654</v>
      </c>
      <c r="CF68" s="252"/>
    </row>
    <row r="69" spans="1:84" ht="12.65" customHeight="1" x14ac:dyDescent="0.3">
      <c r="A69" s="171" t="s">
        <v>241</v>
      </c>
      <c r="B69" s="175"/>
      <c r="C69" s="184">
        <v>0</v>
      </c>
      <c r="D69" s="184">
        <v>0</v>
      </c>
      <c r="E69" s="185">
        <v>0</v>
      </c>
      <c r="F69" s="185">
        <v>0</v>
      </c>
      <c r="G69" s="184">
        <v>0</v>
      </c>
      <c r="H69" s="184">
        <v>5982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0</v>
      </c>
      <c r="T69" s="184">
        <v>0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0</v>
      </c>
      <c r="AC69" s="185">
        <v>0</v>
      </c>
      <c r="AD69" s="185">
        <v>0</v>
      </c>
      <c r="AE69" s="185">
        <v>0</v>
      </c>
      <c r="AF69" s="185">
        <v>0</v>
      </c>
      <c r="AG69" s="185">
        <v>0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1821</v>
      </c>
      <c r="AV69" s="185">
        <v>0</v>
      </c>
      <c r="AW69" s="185">
        <v>0</v>
      </c>
      <c r="AX69" s="185">
        <v>0</v>
      </c>
      <c r="AY69" s="185">
        <v>0</v>
      </c>
      <c r="AZ69" s="185">
        <v>0</v>
      </c>
      <c r="BA69" s="185">
        <v>0</v>
      </c>
      <c r="BB69" s="185">
        <v>7</v>
      </c>
      <c r="BC69" s="185">
        <v>0</v>
      </c>
      <c r="BD69" s="185">
        <v>0</v>
      </c>
      <c r="BE69" s="185">
        <v>110911</v>
      </c>
      <c r="BF69" s="185">
        <v>9</v>
      </c>
      <c r="BG69" s="185">
        <v>0</v>
      </c>
      <c r="BH69" s="224">
        <v>0</v>
      </c>
      <c r="BI69" s="185">
        <v>0</v>
      </c>
      <c r="BJ69" s="185">
        <v>3845</v>
      </c>
      <c r="BK69" s="185">
        <v>31060</v>
      </c>
      <c r="BL69" s="185">
        <v>0</v>
      </c>
      <c r="BM69" s="185">
        <v>0</v>
      </c>
      <c r="BN69" s="185">
        <f>886413+7867+8786</f>
        <v>903066</v>
      </c>
      <c r="BO69" s="185">
        <v>0</v>
      </c>
      <c r="BP69" s="185">
        <v>37163</v>
      </c>
      <c r="BQ69" s="185">
        <v>0</v>
      </c>
      <c r="BR69" s="185">
        <v>40745</v>
      </c>
      <c r="BS69" s="185">
        <v>0</v>
      </c>
      <c r="BT69" s="185">
        <v>0</v>
      </c>
      <c r="BU69" s="185">
        <v>0</v>
      </c>
      <c r="BV69" s="185">
        <v>10948</v>
      </c>
      <c r="BW69" s="185">
        <v>13274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3793</v>
      </c>
      <c r="CD69" s="188"/>
      <c r="CE69" s="195">
        <f t="shared" si="0"/>
        <v>1162624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4414193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73304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578906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161614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131019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564509</v>
      </c>
      <c r="AZ71" s="195">
        <f t="shared" si="6"/>
        <v>65754</v>
      </c>
      <c r="BA71" s="195">
        <f t="shared" si="6"/>
        <v>32860</v>
      </c>
      <c r="BB71" s="195">
        <f t="shared" si="6"/>
        <v>552878</v>
      </c>
      <c r="BC71" s="195">
        <f t="shared" si="6"/>
        <v>20054</v>
      </c>
      <c r="BD71" s="195">
        <f t="shared" si="6"/>
        <v>91419</v>
      </c>
      <c r="BE71" s="195">
        <f t="shared" si="6"/>
        <v>1208721</v>
      </c>
      <c r="BF71" s="195">
        <f t="shared" si="6"/>
        <v>216822</v>
      </c>
      <c r="BG71" s="195">
        <f t="shared" si="6"/>
        <v>134783</v>
      </c>
      <c r="BH71" s="195">
        <f t="shared" si="6"/>
        <v>68612</v>
      </c>
      <c r="BI71" s="195">
        <f t="shared" si="6"/>
        <v>72103</v>
      </c>
      <c r="BJ71" s="195">
        <f t="shared" si="6"/>
        <v>265783</v>
      </c>
      <c r="BK71" s="195">
        <f t="shared" si="6"/>
        <v>306747</v>
      </c>
      <c r="BL71" s="195">
        <f t="shared" si="6"/>
        <v>833475</v>
      </c>
      <c r="BM71" s="195">
        <f t="shared" si="6"/>
        <v>0</v>
      </c>
      <c r="BN71" s="195">
        <f t="shared" si="6"/>
        <v>1504003</v>
      </c>
      <c r="BO71" s="195">
        <f t="shared" si="6"/>
        <v>0</v>
      </c>
      <c r="BP71" s="195">
        <f t="shared" ref="BP71:CC71" si="7">SUM(BP61:BP69)-BP70</f>
        <v>254003</v>
      </c>
      <c r="BQ71" s="195">
        <f t="shared" si="7"/>
        <v>0</v>
      </c>
      <c r="BR71" s="195">
        <f t="shared" si="7"/>
        <v>217741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165209</v>
      </c>
      <c r="BW71" s="195">
        <f t="shared" si="7"/>
        <v>2044738</v>
      </c>
      <c r="BX71" s="195">
        <f t="shared" si="7"/>
        <v>201085</v>
      </c>
      <c r="BY71" s="195">
        <f t="shared" si="7"/>
        <v>1009207</v>
      </c>
      <c r="BZ71" s="195">
        <f t="shared" si="7"/>
        <v>0</v>
      </c>
      <c r="CA71" s="195">
        <f t="shared" si="7"/>
        <v>318676</v>
      </c>
      <c r="CB71" s="195">
        <f t="shared" si="7"/>
        <v>0</v>
      </c>
      <c r="CC71" s="195">
        <f t="shared" si="7"/>
        <v>126735</v>
      </c>
      <c r="CD71" s="245">
        <f>CD69-CD70</f>
        <v>0</v>
      </c>
      <c r="CE71" s="195">
        <f>SUM(CE61:CE69)-CE70</f>
        <v>15634953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/>
      <c r="D73" s="184"/>
      <c r="E73" s="185"/>
      <c r="F73" s="185"/>
      <c r="G73" s="184"/>
      <c r="H73" s="184">
        <v>27561295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27561295</v>
      </c>
      <c r="CF73" s="252"/>
    </row>
    <row r="74" spans="1:84" ht="12.65" customHeight="1" x14ac:dyDescent="0.3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153600</v>
      </c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153600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27561295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153600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27714895</v>
      </c>
      <c r="CF75" s="252"/>
    </row>
    <row r="76" spans="1:84" ht="12.65" customHeight="1" x14ac:dyDescent="0.3">
      <c r="A76" s="171" t="s">
        <v>248</v>
      </c>
      <c r="B76" s="175"/>
      <c r="C76" s="184"/>
      <c r="D76" s="184"/>
      <c r="E76" s="185"/>
      <c r="F76" s="185"/>
      <c r="G76" s="184"/>
      <c r="H76" s="184">
        <f>1323+12278+13509</f>
        <v>27110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65</v>
      </c>
      <c r="V76" s="185"/>
      <c r="W76" s="185"/>
      <c r="X76" s="185"/>
      <c r="Y76" s="185"/>
      <c r="Z76" s="185"/>
      <c r="AA76" s="185"/>
      <c r="AB76" s="185">
        <v>754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>
        <v>26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2679</v>
      </c>
      <c r="AZ76" s="185">
        <v>1940</v>
      </c>
      <c r="BA76" s="185"/>
      <c r="BB76" s="185">
        <v>1309</v>
      </c>
      <c r="BC76" s="185"/>
      <c r="BD76" s="185">
        <v>289</v>
      </c>
      <c r="BE76" s="185">
        <v>21252</v>
      </c>
      <c r="BF76" s="185">
        <v>1277</v>
      </c>
      <c r="BG76" s="185">
        <v>229</v>
      </c>
      <c r="BH76" s="185">
        <v>287</v>
      </c>
      <c r="BI76" s="185"/>
      <c r="BJ76" s="185">
        <v>240</v>
      </c>
      <c r="BK76" s="185">
        <v>249</v>
      </c>
      <c r="BL76" s="185">
        <v>1365</v>
      </c>
      <c r="BM76" s="185"/>
      <c r="BN76" s="185">
        <v>6336</v>
      </c>
      <c r="BO76" s="185"/>
      <c r="BP76" s="185">
        <v>114</v>
      </c>
      <c r="BQ76" s="185"/>
      <c r="BR76" s="185">
        <v>194</v>
      </c>
      <c r="BS76" s="185"/>
      <c r="BT76" s="185"/>
      <c r="BU76" s="185"/>
      <c r="BV76" s="185">
        <v>432</v>
      </c>
      <c r="BW76" s="185">
        <v>1179</v>
      </c>
      <c r="BX76" s="185">
        <v>332</v>
      </c>
      <c r="BY76" s="185">
        <v>479</v>
      </c>
      <c r="BZ76" s="185"/>
      <c r="CA76" s="185"/>
      <c r="CB76" s="185"/>
      <c r="CC76" s="185">
        <v>98</v>
      </c>
      <c r="CD76" s="249" t="s">
        <v>221</v>
      </c>
      <c r="CE76" s="195">
        <f t="shared" si="8"/>
        <v>68235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/>
      <c r="F77" s="184"/>
      <c r="G77" s="184"/>
      <c r="H77" s="184">
        <f>AY59</f>
        <v>41586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41586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/>
      <c r="D78" s="184"/>
      <c r="E78" s="184"/>
      <c r="F78" s="184"/>
      <c r="G78" s="184"/>
      <c r="H78" s="184">
        <f>BF60/1.1*2080</f>
        <v>6277.8181818181811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6277.8181818181811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/>
      <c r="F79" s="184"/>
      <c r="G79" s="184"/>
      <c r="H79" s="184">
        <f>ROUND(32860/0.6386,0)</f>
        <v>51456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51456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41.23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41.23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71" t="s">
        <v>1268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1381</v>
      </c>
      <c r="D111" s="174">
        <f>H59</f>
        <v>13862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60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60</v>
      </c>
    </row>
    <row r="128" spans="1:5" ht="12.65" customHeight="1" x14ac:dyDescent="0.3">
      <c r="A128" s="173" t="s">
        <v>292</v>
      </c>
      <c r="B128" s="172" t="s">
        <v>256</v>
      </c>
      <c r="C128" s="189">
        <v>100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196</v>
      </c>
      <c r="C138" s="189">
        <v>91</v>
      </c>
      <c r="D138" s="174">
        <f>8+1086</f>
        <v>1094</v>
      </c>
      <c r="E138" s="175">
        <f>SUM(B138:D138)</f>
        <v>1381</v>
      </c>
    </row>
    <row r="139" spans="1:6" ht="12.65" customHeight="1" x14ac:dyDescent="0.3">
      <c r="A139" s="173" t="s">
        <v>215</v>
      </c>
      <c r="B139" s="174">
        <v>2753</v>
      </c>
      <c r="C139" s="189">
        <v>1064</v>
      </c>
      <c r="D139" s="174">
        <f>21+10024</f>
        <v>10045</v>
      </c>
      <c r="E139" s="175">
        <f>SUM(B139:D139)</f>
        <v>13862</v>
      </c>
    </row>
    <row r="140" spans="1:6" ht="12.65" customHeight="1" x14ac:dyDescent="0.3">
      <c r="A140" s="173" t="s">
        <v>298</v>
      </c>
      <c r="B140" s="174">
        <v>41</v>
      </c>
      <c r="C140" s="174">
        <v>0</v>
      </c>
      <c r="D140" s="174">
        <v>210</v>
      </c>
      <c r="E140" s="175">
        <f>SUM(B140:D140)</f>
        <v>251</v>
      </c>
    </row>
    <row r="141" spans="1:6" ht="12.65" customHeight="1" x14ac:dyDescent="0.3">
      <c r="A141" s="173" t="s">
        <v>245</v>
      </c>
      <c r="B141" s="174">
        <v>4955400</v>
      </c>
      <c r="C141" s="189">
        <v>1915200</v>
      </c>
      <c r="D141" s="174">
        <f>37800+20652895</f>
        <v>20690695</v>
      </c>
      <c r="E141" s="175">
        <f>SUM(B141:D141)</f>
        <v>27561295</v>
      </c>
      <c r="F141" s="199"/>
    </row>
    <row r="142" spans="1:6" ht="12.65" customHeight="1" x14ac:dyDescent="0.3">
      <c r="A142" s="173" t="s">
        <v>246</v>
      </c>
      <c r="B142" s="174">
        <v>30200</v>
      </c>
      <c r="C142" s="189">
        <v>0</v>
      </c>
      <c r="D142" s="174">
        <v>123400</v>
      </c>
      <c r="E142" s="175">
        <f>SUM(B142:D142)</f>
        <v>153600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4" customHeight="1" x14ac:dyDescent="0.3">
      <c r="A163" s="207" t="s">
        <v>305</v>
      </c>
      <c r="B163" s="208"/>
      <c r="C163" s="208"/>
      <c r="D163" s="208"/>
      <c r="E163" s="208"/>
    </row>
    <row r="164" spans="1:5" ht="11.4" customHeight="1" x14ac:dyDescent="0.3">
      <c r="A164" s="257" t="s">
        <v>306</v>
      </c>
      <c r="B164" s="257"/>
      <c r="C164" s="257"/>
      <c r="D164" s="257"/>
      <c r="E164" s="257"/>
    </row>
    <row r="165" spans="1:5" ht="11.4" customHeight="1" x14ac:dyDescent="0.3">
      <c r="A165" s="173" t="s">
        <v>307</v>
      </c>
      <c r="B165" s="172" t="s">
        <v>256</v>
      </c>
      <c r="C165" s="189">
        <v>627045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9">
        <v>26758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9">
        <v>223403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9">
        <v>295777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9">
        <v>29634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9">
        <v>100152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9">
        <v>196514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">
      <c r="A173" s="173" t="s">
        <v>203</v>
      </c>
      <c r="B173" s="175"/>
      <c r="C173" s="191"/>
      <c r="D173" s="175">
        <f>SUM(C165:C172)</f>
        <v>1499283</v>
      </c>
      <c r="E173" s="175"/>
    </row>
    <row r="174" spans="1:5" ht="11.4" customHeight="1" x14ac:dyDescent="0.3">
      <c r="A174" s="257" t="s">
        <v>314</v>
      </c>
      <c r="B174" s="257"/>
      <c r="C174" s="257"/>
      <c r="D174" s="257"/>
      <c r="E174" s="257"/>
    </row>
    <row r="175" spans="1:5" ht="11.4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9">
        <v>1654</v>
      </c>
      <c r="D176" s="175"/>
      <c r="E176" s="175"/>
    </row>
    <row r="177" spans="1:5" ht="11.4" customHeight="1" x14ac:dyDescent="0.3">
      <c r="A177" s="173" t="s">
        <v>203</v>
      </c>
      <c r="B177" s="175"/>
      <c r="C177" s="191"/>
      <c r="D177" s="175">
        <f>SUM(C175:C176)</f>
        <v>1654</v>
      </c>
      <c r="E177" s="175"/>
    </row>
    <row r="178" spans="1:5" ht="11.4" customHeight="1" x14ac:dyDescent="0.3">
      <c r="A178" s="257" t="s">
        <v>317</v>
      </c>
      <c r="B178" s="257"/>
      <c r="C178" s="257"/>
      <c r="D178" s="257"/>
      <c r="E178" s="257"/>
    </row>
    <row r="179" spans="1:5" ht="11.4" customHeight="1" x14ac:dyDescent="0.3">
      <c r="A179" s="173" t="s">
        <v>318</v>
      </c>
      <c r="B179" s="172" t="s">
        <v>256</v>
      </c>
      <c r="C179" s="189">
        <v>3694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3">
      <c r="A181" s="173" t="s">
        <v>203</v>
      </c>
      <c r="B181" s="175"/>
      <c r="C181" s="191"/>
      <c r="D181" s="175">
        <f>SUM(C179:C180)</f>
        <v>3694</v>
      </c>
      <c r="E181" s="175"/>
    </row>
    <row r="182" spans="1:5" ht="11.4" customHeight="1" x14ac:dyDescent="0.3">
      <c r="A182" s="257" t="s">
        <v>320</v>
      </c>
      <c r="B182" s="257"/>
      <c r="C182" s="257"/>
      <c r="D182" s="257"/>
      <c r="E182" s="257"/>
    </row>
    <row r="183" spans="1:5" ht="11.4" customHeight="1" x14ac:dyDescent="0.3">
      <c r="A183" s="173" t="s">
        <v>321</v>
      </c>
      <c r="B183" s="172" t="s">
        <v>256</v>
      </c>
      <c r="C183" s="189">
        <f>34356+8786</f>
        <v>43142</v>
      </c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9">
        <v>309976</v>
      </c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">
      <c r="A186" s="173" t="s">
        <v>203</v>
      </c>
      <c r="B186" s="175"/>
      <c r="C186" s="191"/>
      <c r="D186" s="175">
        <f>SUM(C183:C185)</f>
        <v>353118</v>
      </c>
      <c r="E186" s="175"/>
    </row>
    <row r="187" spans="1:5" ht="11.4" customHeight="1" x14ac:dyDescent="0.3">
      <c r="A187" s="257" t="s">
        <v>323</v>
      </c>
      <c r="B187" s="257"/>
      <c r="C187" s="257"/>
      <c r="D187" s="257"/>
      <c r="E187" s="257"/>
    </row>
    <row r="188" spans="1:5" ht="11.4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4759217</v>
      </c>
      <c r="C195" s="189"/>
      <c r="D195" s="174"/>
      <c r="E195" s="175">
        <f t="shared" ref="E195:E203" si="10">SUM(B195:C195)-D195</f>
        <v>4759217</v>
      </c>
    </row>
    <row r="196" spans="1:8" ht="12.65" customHeight="1" x14ac:dyDescent="0.3">
      <c r="A196" s="173" t="s">
        <v>333</v>
      </c>
      <c r="B196" s="174"/>
      <c r="C196" s="189">
        <v>1099025</v>
      </c>
      <c r="D196" s="174"/>
      <c r="E196" s="175">
        <f t="shared" si="10"/>
        <v>1099025</v>
      </c>
    </row>
    <row r="197" spans="1:8" ht="12.65" customHeight="1" x14ac:dyDescent="0.3">
      <c r="A197" s="173" t="s">
        <v>334</v>
      </c>
      <c r="B197" s="174"/>
      <c r="C197" s="189">
        <v>32290938</v>
      </c>
      <c r="D197" s="174"/>
      <c r="E197" s="175">
        <f t="shared" si="10"/>
        <v>32290938</v>
      </c>
    </row>
    <row r="198" spans="1:8" ht="12.65" customHeight="1" x14ac:dyDescent="0.3">
      <c r="A198" s="173" t="s">
        <v>335</v>
      </c>
      <c r="B198" s="174"/>
      <c r="C198" s="189">
        <v>2048380</v>
      </c>
      <c r="D198" s="174"/>
      <c r="E198" s="175">
        <f t="shared" si="10"/>
        <v>2048380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20564</v>
      </c>
      <c r="C200" s="189">
        <v>1596903</v>
      </c>
      <c r="D200" s="174"/>
      <c r="E200" s="175">
        <f t="shared" si="10"/>
        <v>1617467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33723158</v>
      </c>
      <c r="C203" s="189">
        <f>-34252897+522558</f>
        <v>-33730339</v>
      </c>
      <c r="D203" s="174"/>
      <c r="E203" s="175">
        <f t="shared" si="10"/>
        <v>-7181</v>
      </c>
    </row>
    <row r="204" spans="1:8" ht="12.65" customHeight="1" x14ac:dyDescent="0.3">
      <c r="A204" s="173" t="s">
        <v>203</v>
      </c>
      <c r="B204" s="175">
        <f>SUM(B195:B203)</f>
        <v>38502939</v>
      </c>
      <c r="C204" s="191">
        <f>SUM(C195:C203)</f>
        <v>3304907</v>
      </c>
      <c r="D204" s="175">
        <f>SUM(D195:D203)</f>
        <v>0</v>
      </c>
      <c r="E204" s="175">
        <f>SUM(E195:E203)</f>
        <v>41807846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/>
      <c r="C209" s="189">
        <v>91585.46</v>
      </c>
      <c r="D209" s="174"/>
      <c r="E209" s="175">
        <f t="shared" ref="E209:E216" si="11">SUM(B209:C209)-D209</f>
        <v>91585.46</v>
      </c>
      <c r="H209" s="259"/>
    </row>
    <row r="210" spans="1:8" ht="12.65" customHeight="1" x14ac:dyDescent="0.3">
      <c r="A210" s="173" t="s">
        <v>334</v>
      </c>
      <c r="B210" s="174">
        <v>321693.27</v>
      </c>
      <c r="C210" s="189">
        <v>1314805.44</v>
      </c>
      <c r="D210" s="174"/>
      <c r="E210" s="175">
        <f t="shared" si="11"/>
        <v>1636498.71</v>
      </c>
      <c r="H210" s="259"/>
    </row>
    <row r="211" spans="1:8" ht="12.65" customHeight="1" x14ac:dyDescent="0.3">
      <c r="A211" s="173" t="s">
        <v>335</v>
      </c>
      <c r="B211" s="174"/>
      <c r="C211" s="189">
        <v>490100.17</v>
      </c>
      <c r="D211" s="174"/>
      <c r="E211" s="175">
        <f t="shared" si="11"/>
        <v>490100.17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59492.49</v>
      </c>
      <c r="C213" s="189">
        <v>388032.12</v>
      </c>
      <c r="D213" s="174"/>
      <c r="E213" s="175">
        <f t="shared" si="11"/>
        <v>447524.61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381185.76</v>
      </c>
      <c r="C217" s="191">
        <f>SUM(C208:C216)</f>
        <v>2284523.19</v>
      </c>
      <c r="D217" s="175">
        <f>SUM(D208:D216)</f>
        <v>0</v>
      </c>
      <c r="E217" s="175">
        <f>SUM(E208:E216)</f>
        <v>2665708.9499999997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86" t="s">
        <v>1255</v>
      </c>
      <c r="C220" s="286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735307</v>
      </c>
      <c r="D221" s="172">
        <f>C221</f>
        <v>735307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2499555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1070328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7101535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951034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1812855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13435307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49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116088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116088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-369524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f>577256</f>
        <v>577256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207732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14494434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5" customHeight="1" x14ac:dyDescent="0.3">
      <c r="A250" s="173" t="s">
        <v>362</v>
      </c>
      <c r="B250" s="172" t="s">
        <v>256</v>
      </c>
      <c r="C250" s="189">
        <v>-39953</v>
      </c>
      <c r="D250" s="175"/>
      <c r="E250" s="175"/>
    </row>
    <row r="251" spans="1:5" ht="12.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5" customHeight="1" x14ac:dyDescent="0.3">
      <c r="A252" s="173" t="s">
        <v>364</v>
      </c>
      <c r="B252" s="172" t="s">
        <v>256</v>
      </c>
      <c r="C252" s="189">
        <v>6928003</v>
      </c>
      <c r="D252" s="175"/>
      <c r="E252" s="175"/>
    </row>
    <row r="253" spans="1:5" ht="12.5" customHeight="1" x14ac:dyDescent="0.3">
      <c r="A253" s="173" t="s">
        <v>365</v>
      </c>
      <c r="B253" s="172" t="s">
        <v>256</v>
      </c>
      <c r="C253" s="189">
        <v>2739993</v>
      </c>
      <c r="D253" s="175"/>
      <c r="E253" s="175"/>
    </row>
    <row r="254" spans="1:5" ht="12.5" customHeight="1" x14ac:dyDescent="0.3">
      <c r="A254" s="173" t="s">
        <v>1241</v>
      </c>
      <c r="B254" s="172" t="s">
        <v>256</v>
      </c>
      <c r="C254" s="189">
        <v>8200</v>
      </c>
      <c r="D254" s="175"/>
      <c r="E254" s="175"/>
    </row>
    <row r="255" spans="1:5" ht="12.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5" customHeight="1" x14ac:dyDescent="0.3">
      <c r="A257" s="173" t="s">
        <v>368</v>
      </c>
      <c r="B257" s="172" t="s">
        <v>256</v>
      </c>
      <c r="C257" s="189">
        <v>58440</v>
      </c>
      <c r="D257" s="175"/>
      <c r="E257" s="175"/>
    </row>
    <row r="258" spans="1:5" ht="12.5" customHeight="1" x14ac:dyDescent="0.3">
      <c r="A258" s="173" t="s">
        <v>369</v>
      </c>
      <c r="B258" s="172" t="s">
        <v>256</v>
      </c>
      <c r="C258" s="189">
        <v>49252</v>
      </c>
      <c r="D258" s="175"/>
      <c r="E258" s="175"/>
    </row>
    <row r="259" spans="1:5" ht="12.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5" customHeight="1" x14ac:dyDescent="0.3">
      <c r="A260" s="173" t="s">
        <v>371</v>
      </c>
      <c r="B260" s="175"/>
      <c r="C260" s="191"/>
      <c r="D260" s="175">
        <f>SUM(C250:C252)-C253+SUM(C254:C259)</f>
        <v>4263949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5" customHeight="1" x14ac:dyDescent="0.3">
      <c r="A267" s="173" t="s">
        <v>332</v>
      </c>
      <c r="B267" s="172" t="s">
        <v>256</v>
      </c>
      <c r="C267" s="189">
        <v>4759217</v>
      </c>
      <c r="D267" s="175"/>
      <c r="E267" s="175"/>
    </row>
    <row r="268" spans="1:5" ht="12.5" customHeight="1" x14ac:dyDescent="0.3">
      <c r="A268" s="173" t="s">
        <v>333</v>
      </c>
      <c r="B268" s="172" t="s">
        <v>256</v>
      </c>
      <c r="C268" s="189">
        <v>1099025</v>
      </c>
      <c r="D268" s="175"/>
      <c r="E268" s="175"/>
    </row>
    <row r="269" spans="1:5" ht="12.5" customHeight="1" x14ac:dyDescent="0.3">
      <c r="A269" s="173" t="s">
        <v>334</v>
      </c>
      <c r="B269" s="172" t="s">
        <v>256</v>
      </c>
      <c r="C269" s="189">
        <v>32290938</v>
      </c>
      <c r="D269" s="175"/>
      <c r="E269" s="175"/>
    </row>
    <row r="270" spans="1:5" ht="12.5" customHeight="1" x14ac:dyDescent="0.3">
      <c r="A270" s="173" t="s">
        <v>376</v>
      </c>
      <c r="B270" s="172" t="s">
        <v>256</v>
      </c>
      <c r="C270" s="189">
        <v>2048380</v>
      </c>
      <c r="D270" s="175"/>
      <c r="E270" s="175"/>
    </row>
    <row r="271" spans="1:5" ht="12.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5" customHeight="1" x14ac:dyDescent="0.3">
      <c r="A272" s="173" t="s">
        <v>378</v>
      </c>
      <c r="B272" s="172" t="s">
        <v>256</v>
      </c>
      <c r="C272" s="189">
        <v>1617467</v>
      </c>
      <c r="D272" s="175"/>
      <c r="E272" s="175"/>
    </row>
    <row r="273" spans="1:5" ht="12.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5" customHeight="1" x14ac:dyDescent="0.3">
      <c r="A274" s="173" t="s">
        <v>340</v>
      </c>
      <c r="B274" s="172" t="s">
        <v>256</v>
      </c>
      <c r="C274" s="189">
        <v>-7180</v>
      </c>
      <c r="D274" s="175"/>
      <c r="E274" s="175"/>
    </row>
    <row r="275" spans="1:5" ht="12.5" customHeight="1" x14ac:dyDescent="0.3">
      <c r="A275" s="173" t="s">
        <v>379</v>
      </c>
      <c r="B275" s="175"/>
      <c r="C275" s="191"/>
      <c r="D275" s="175">
        <f>SUM(C267:C274)</f>
        <v>41807847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2665709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39142138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24886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24886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43430973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333560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715955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55383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1104898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78865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78865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78865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189">
        <v>47680340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-5433131.9400000004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43430971.060000002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43430973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27561295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153600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27714895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735307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f>13759127-C365</f>
        <v>13643039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116088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14494434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13220461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11657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11657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13232118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7521606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1499283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1986416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486539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138720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f>322966-C382+202379</f>
        <v>386625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2312733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1654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3694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344332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953352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15634954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-2402836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-2402836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-2402836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Inland Northwest Behavioral Health   H-0     FYE 12/31/2019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1381</v>
      </c>
      <c r="C414" s="194">
        <f>E138</f>
        <v>1381</v>
      </c>
      <c r="D414" s="179"/>
    </row>
    <row r="415" spans="1:5" ht="12.65" customHeight="1" x14ac:dyDescent="0.3">
      <c r="A415" s="179" t="s">
        <v>464</v>
      </c>
      <c r="B415" s="179">
        <f>D111</f>
        <v>13862</v>
      </c>
      <c r="C415" s="179">
        <f>E139</f>
        <v>13862</v>
      </c>
      <c r="D415" s="194">
        <f>SUM(C59:H59)+N59</f>
        <v>13862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7521606</v>
      </c>
      <c r="C427" s="179">
        <f t="shared" ref="C427:C434" si="13">CE61</f>
        <v>7521607</v>
      </c>
      <c r="D427" s="179"/>
    </row>
    <row r="428" spans="1:7" ht="12.65" customHeight="1" x14ac:dyDescent="0.3">
      <c r="A428" s="179" t="s">
        <v>3</v>
      </c>
      <c r="B428" s="179">
        <f t="shared" si="12"/>
        <v>1499283</v>
      </c>
      <c r="C428" s="179">
        <f t="shared" si="13"/>
        <v>1499282</v>
      </c>
      <c r="D428" s="179">
        <f>D173</f>
        <v>1499283</v>
      </c>
    </row>
    <row r="429" spans="1:7" ht="12.65" customHeight="1" x14ac:dyDescent="0.3">
      <c r="A429" s="179" t="s">
        <v>236</v>
      </c>
      <c r="B429" s="179">
        <f t="shared" si="12"/>
        <v>1986416</v>
      </c>
      <c r="C429" s="179">
        <f t="shared" si="13"/>
        <v>1986416</v>
      </c>
      <c r="D429" s="179"/>
    </row>
    <row r="430" spans="1:7" ht="12.65" customHeight="1" x14ac:dyDescent="0.3">
      <c r="A430" s="179" t="s">
        <v>237</v>
      </c>
      <c r="B430" s="179">
        <f t="shared" si="12"/>
        <v>486539</v>
      </c>
      <c r="C430" s="179">
        <f t="shared" si="13"/>
        <v>486541</v>
      </c>
      <c r="D430" s="179"/>
    </row>
    <row r="431" spans="1:7" ht="12.65" customHeight="1" x14ac:dyDescent="0.3">
      <c r="A431" s="179" t="s">
        <v>444</v>
      </c>
      <c r="B431" s="179">
        <f t="shared" si="12"/>
        <v>138720</v>
      </c>
      <c r="C431" s="179">
        <f t="shared" si="13"/>
        <v>138720</v>
      </c>
      <c r="D431" s="179"/>
    </row>
    <row r="432" spans="1:7" ht="12.65" customHeight="1" x14ac:dyDescent="0.3">
      <c r="A432" s="179" t="s">
        <v>445</v>
      </c>
      <c r="B432" s="179">
        <f t="shared" si="12"/>
        <v>386625</v>
      </c>
      <c r="C432" s="179">
        <f t="shared" si="13"/>
        <v>525375</v>
      </c>
      <c r="D432" s="179"/>
    </row>
    <row r="433" spans="1:7" ht="12.65" customHeight="1" x14ac:dyDescent="0.3">
      <c r="A433" s="179" t="s">
        <v>6</v>
      </c>
      <c r="B433" s="179">
        <f t="shared" si="12"/>
        <v>2312733</v>
      </c>
      <c r="C433" s="179">
        <f t="shared" si="13"/>
        <v>2312734</v>
      </c>
      <c r="D433" s="179">
        <f>C217</f>
        <v>2284523.19</v>
      </c>
    </row>
    <row r="434" spans="1:7" ht="12.65" customHeight="1" x14ac:dyDescent="0.3">
      <c r="A434" s="179" t="s">
        <v>474</v>
      </c>
      <c r="B434" s="179">
        <f t="shared" si="12"/>
        <v>1654</v>
      </c>
      <c r="C434" s="179">
        <f t="shared" si="13"/>
        <v>1654</v>
      </c>
      <c r="D434" s="179">
        <f>D177</f>
        <v>1654</v>
      </c>
    </row>
    <row r="435" spans="1:7" ht="12.65" customHeight="1" x14ac:dyDescent="0.3">
      <c r="A435" s="179" t="s">
        <v>447</v>
      </c>
      <c r="B435" s="179">
        <f t="shared" si="12"/>
        <v>3694</v>
      </c>
      <c r="C435" s="179"/>
      <c r="D435" s="179">
        <f>D181</f>
        <v>3694</v>
      </c>
    </row>
    <row r="436" spans="1:7" ht="12.65" customHeight="1" x14ac:dyDescent="0.3">
      <c r="A436" s="179" t="s">
        <v>475</v>
      </c>
      <c r="B436" s="179">
        <f t="shared" si="12"/>
        <v>344332</v>
      </c>
      <c r="C436" s="179"/>
      <c r="D436" s="179">
        <f>D186</f>
        <v>353118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348026</v>
      </c>
      <c r="C438" s="194">
        <f>CD69</f>
        <v>0</v>
      </c>
      <c r="D438" s="194">
        <f>D181+D186+D190</f>
        <v>356812</v>
      </c>
    </row>
    <row r="439" spans="1:7" ht="12.65" customHeight="1" x14ac:dyDescent="0.3">
      <c r="A439" s="179" t="s">
        <v>451</v>
      </c>
      <c r="B439" s="194">
        <f>C389</f>
        <v>953352</v>
      </c>
      <c r="C439" s="194">
        <f>SUM(C69:CC69)</f>
        <v>1162624</v>
      </c>
      <c r="D439" s="179"/>
    </row>
    <row r="440" spans="1:7" ht="12.65" customHeight="1" x14ac:dyDescent="0.3">
      <c r="A440" s="179" t="s">
        <v>477</v>
      </c>
      <c r="B440" s="194">
        <f>B438+B439</f>
        <v>1301378</v>
      </c>
      <c r="C440" s="194">
        <f>CE69</f>
        <v>1162624</v>
      </c>
      <c r="D440" s="179"/>
    </row>
    <row r="441" spans="1:7" ht="12.65" customHeight="1" x14ac:dyDescent="0.3">
      <c r="A441" s="179" t="s">
        <v>478</v>
      </c>
      <c r="B441" s="179">
        <f>D390</f>
        <v>15634954</v>
      </c>
      <c r="C441" s="179">
        <f>SUM(C427:C437)+C440</f>
        <v>15634953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735307</v>
      </c>
      <c r="C444" s="179">
        <f>C363</f>
        <v>735307</v>
      </c>
      <c r="D444" s="179"/>
    </row>
    <row r="445" spans="1:7" ht="12.65" customHeight="1" x14ac:dyDescent="0.3">
      <c r="A445" s="179" t="s">
        <v>343</v>
      </c>
      <c r="B445" s="179">
        <f>D229</f>
        <v>13435307</v>
      </c>
      <c r="C445" s="179">
        <f>C364</f>
        <v>13643039</v>
      </c>
      <c r="D445" s="179"/>
    </row>
    <row r="446" spans="1:7" ht="12.65" customHeight="1" x14ac:dyDescent="0.3">
      <c r="A446" s="179" t="s">
        <v>351</v>
      </c>
      <c r="B446" s="179">
        <f>D236</f>
        <v>116088</v>
      </c>
      <c r="C446" s="179">
        <f>C365</f>
        <v>116088</v>
      </c>
      <c r="D446" s="179"/>
    </row>
    <row r="447" spans="1:7" ht="12.65" customHeight="1" x14ac:dyDescent="0.3">
      <c r="A447" s="179" t="s">
        <v>356</v>
      </c>
      <c r="B447" s="179">
        <f>D240</f>
        <v>207732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14494434</v>
      </c>
      <c r="C448" s="179">
        <f>D367</f>
        <v>14494434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49</v>
      </c>
    </row>
    <row r="454" spans="1:7" ht="12.65" customHeight="1" x14ac:dyDescent="0.3">
      <c r="A454" s="179" t="s">
        <v>168</v>
      </c>
      <c r="B454" s="179">
        <f>C233</f>
        <v>116088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11657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27561295</v>
      </c>
      <c r="C463" s="194">
        <f>CE73</f>
        <v>27561295</v>
      </c>
      <c r="D463" s="194">
        <f>E141+E147+E153</f>
        <v>27561295</v>
      </c>
    </row>
    <row r="464" spans="1:7" ht="12.65" customHeight="1" x14ac:dyDescent="0.3">
      <c r="A464" s="179" t="s">
        <v>246</v>
      </c>
      <c r="B464" s="194">
        <f>C360</f>
        <v>153600</v>
      </c>
      <c r="C464" s="194">
        <f>CE74</f>
        <v>153600</v>
      </c>
      <c r="D464" s="194">
        <f>E142+E148+E154</f>
        <v>153600</v>
      </c>
    </row>
    <row r="465" spans="1:7" ht="12.65" customHeight="1" x14ac:dyDescent="0.3">
      <c r="A465" s="179" t="s">
        <v>247</v>
      </c>
      <c r="B465" s="194">
        <f>D361</f>
        <v>27714895</v>
      </c>
      <c r="C465" s="194">
        <f>CE75</f>
        <v>27714895</v>
      </c>
      <c r="D465" s="194">
        <f>D463+D464</f>
        <v>27714895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4759217</v>
      </c>
      <c r="C468" s="179">
        <f>E195</f>
        <v>4759217</v>
      </c>
      <c r="D468" s="179"/>
    </row>
    <row r="469" spans="1:7" ht="12.65" customHeight="1" x14ac:dyDescent="0.3">
      <c r="A469" s="179" t="s">
        <v>333</v>
      </c>
      <c r="B469" s="179">
        <f t="shared" si="14"/>
        <v>1099025</v>
      </c>
      <c r="C469" s="179">
        <f>E196</f>
        <v>1099025</v>
      </c>
      <c r="D469" s="179"/>
    </row>
    <row r="470" spans="1:7" ht="12.65" customHeight="1" x14ac:dyDescent="0.3">
      <c r="A470" s="179" t="s">
        <v>334</v>
      </c>
      <c r="B470" s="179">
        <f t="shared" si="14"/>
        <v>32290938</v>
      </c>
      <c r="C470" s="179">
        <f>E197</f>
        <v>32290938</v>
      </c>
      <c r="D470" s="179"/>
    </row>
    <row r="471" spans="1:7" ht="12.65" customHeight="1" x14ac:dyDescent="0.3">
      <c r="A471" s="179" t="s">
        <v>494</v>
      </c>
      <c r="B471" s="179">
        <f t="shared" si="14"/>
        <v>2048380</v>
      </c>
      <c r="C471" s="179">
        <f>E198</f>
        <v>2048380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1617467</v>
      </c>
      <c r="C473" s="179">
        <f>SUM(E200:E201)</f>
        <v>1617467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-7180</v>
      </c>
      <c r="C475" s="179">
        <f>E203</f>
        <v>-7181</v>
      </c>
      <c r="D475" s="179"/>
    </row>
    <row r="476" spans="1:7" ht="12.65" customHeight="1" x14ac:dyDescent="0.3">
      <c r="A476" s="179" t="s">
        <v>203</v>
      </c>
      <c r="B476" s="179">
        <f>D275</f>
        <v>41807847</v>
      </c>
      <c r="C476" s="179">
        <f>E204</f>
        <v>41807846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2665709</v>
      </c>
      <c r="C478" s="179">
        <f>E217</f>
        <v>2665708.9499999997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43430973</v>
      </c>
    </row>
    <row r="482" spans="1:12" ht="12.65" customHeight="1" x14ac:dyDescent="0.3">
      <c r="A482" s="180" t="s">
        <v>499</v>
      </c>
      <c r="C482" s="180">
        <f>D339</f>
        <v>43430971.060000002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926</v>
      </c>
      <c r="B493" s="261" t="str">
        <f>RIGHT('[1]Prior Year'!C83,4)</f>
        <v>2018</v>
      </c>
      <c r="C493" s="261" t="str">
        <f>RIGHT(C82,4)</f>
        <v>2019</v>
      </c>
      <c r="D493" s="261" t="str">
        <f>RIGHT('[1]Prior Year'!C83,4)</f>
        <v>2018</v>
      </c>
      <c r="E493" s="261" t="str">
        <f>RIGHT(C82,4)</f>
        <v>2019</v>
      </c>
      <c r="F493" s="261" t="str">
        <f>RIGHT('[1]Prior Year'!C83,4)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'[1]Prior Year'!C72</f>
        <v>0</v>
      </c>
      <c r="C496" s="240">
        <f>C71</f>
        <v>0</v>
      </c>
      <c r="D496" s="240">
        <f>'[1]Prior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'[1]Prior Year'!D72</f>
        <v>0</v>
      </c>
      <c r="C497" s="240">
        <f>D71</f>
        <v>0</v>
      </c>
      <c r="D497" s="240">
        <f>'[1]Prior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'[1]Prior Year'!E72</f>
        <v>0</v>
      </c>
      <c r="C498" s="240">
        <f>E71</f>
        <v>0</v>
      </c>
      <c r="D498" s="240">
        <f>'[1]Prior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'[1]Prior Year'!F72</f>
        <v>0</v>
      </c>
      <c r="C499" s="240">
        <f>F71</f>
        <v>0</v>
      </c>
      <c r="D499" s="240">
        <f>'[1]Prior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'[1]Prior Year'!G72</f>
        <v>0</v>
      </c>
      <c r="C500" s="240">
        <f>G71</f>
        <v>0</v>
      </c>
      <c r="D500" s="240">
        <f>'[1]Prior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'[1]Prior Year'!H72</f>
        <v>560841.13</v>
      </c>
      <c r="C501" s="240">
        <f>H71</f>
        <v>4414193</v>
      </c>
      <c r="D501" s="240">
        <f>'[1]Prior Year'!H59</f>
        <v>681</v>
      </c>
      <c r="E501" s="180">
        <f>H59</f>
        <v>13862</v>
      </c>
      <c r="F501" s="263">
        <f t="shared" si="15"/>
        <v>823.55525697503674</v>
      </c>
      <c r="G501" s="263">
        <f t="shared" si="15"/>
        <v>318.43839272832201</v>
      </c>
      <c r="H501" s="265">
        <f t="shared" si="16"/>
        <v>-0.61333694365820268</v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'[1]Prior Year'!I72</f>
        <v>0</v>
      </c>
      <c r="C502" s="240">
        <f>I71</f>
        <v>0</v>
      </c>
      <c r="D502" s="240">
        <f>'[1]Prior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'[1]Prior Year'!J72</f>
        <v>0</v>
      </c>
      <c r="C503" s="240">
        <f>J71</f>
        <v>0</v>
      </c>
      <c r="D503" s="240">
        <f>'[1]Prior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'[1]Prior Year'!K72</f>
        <v>0</v>
      </c>
      <c r="C504" s="240">
        <f>K71</f>
        <v>0</v>
      </c>
      <c r="D504" s="240">
        <f>'[1]Prior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'[1]Prior Year'!L72</f>
        <v>0</v>
      </c>
      <c r="C505" s="240">
        <f>L71</f>
        <v>0</v>
      </c>
      <c r="D505" s="240">
        <f>'[1]Prior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'[1]Prior Year'!M72</f>
        <v>0</v>
      </c>
      <c r="C506" s="240">
        <f>M71</f>
        <v>0</v>
      </c>
      <c r="D506" s="240">
        <f>'[1]Prior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'[1]Prior Year'!N72</f>
        <v>0</v>
      </c>
      <c r="C507" s="240">
        <f>N71</f>
        <v>0</v>
      </c>
      <c r="D507" s="240">
        <f>'[1]Prior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'[1]Prior Year'!O72</f>
        <v>0</v>
      </c>
      <c r="C508" s="240">
        <f>O71</f>
        <v>0</v>
      </c>
      <c r="D508" s="240">
        <f>'[1]Prior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'[1]Prior Year'!P72</f>
        <v>0</v>
      </c>
      <c r="C509" s="240">
        <f>P71</f>
        <v>0</v>
      </c>
      <c r="D509" s="240">
        <f>'[1]Prior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'[1]Prior Year'!Q72</f>
        <v>0</v>
      </c>
      <c r="C510" s="240">
        <f>Q71</f>
        <v>0</v>
      </c>
      <c r="D510" s="240">
        <f>'[1]Prior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'[1]Prior Year'!R72</f>
        <v>0</v>
      </c>
      <c r="C511" s="240">
        <f>R71</f>
        <v>0</v>
      </c>
      <c r="D511" s="240">
        <f>'[1]Prior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'[1]Prior Year'!S72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'[1]Prior Year'!T72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'[1]Prior Year'!U72</f>
        <v>474</v>
      </c>
      <c r="C514" s="240">
        <f>U71</f>
        <v>73304</v>
      </c>
      <c r="D514" s="240">
        <f>'[1]Prior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'[1]Prior Year'!V72</f>
        <v>0</v>
      </c>
      <c r="C515" s="240">
        <f>V71</f>
        <v>0</v>
      </c>
      <c r="D515" s="240">
        <f>'[1]Prior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'[1]Prior Year'!W72</f>
        <v>0</v>
      </c>
      <c r="C516" s="240">
        <f>W71</f>
        <v>0</v>
      </c>
      <c r="D516" s="240">
        <f>'[1]Prior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'[1]Prior Year'!X72</f>
        <v>0</v>
      </c>
      <c r="C517" s="240">
        <f>X71</f>
        <v>0</v>
      </c>
      <c r="D517" s="240">
        <f>'[1]Prior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'[1]Prior Year'!Y72</f>
        <v>0</v>
      </c>
      <c r="C518" s="240">
        <f>Y71</f>
        <v>0</v>
      </c>
      <c r="D518" s="240">
        <f>'[1]Prior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'[1]Prior Year'!Z72</f>
        <v>0</v>
      </c>
      <c r="C519" s="240">
        <f>Z71</f>
        <v>0</v>
      </c>
      <c r="D519" s="240">
        <f>'[1]Prior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'[1]Prior Year'!AA72</f>
        <v>0</v>
      </c>
      <c r="C520" s="240">
        <f>AA71</f>
        <v>0</v>
      </c>
      <c r="D520" s="240">
        <f>'[1]Prior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'[1]Prior Year'!AB72</f>
        <v>94825.510000000009</v>
      </c>
      <c r="C521" s="240">
        <f>AB71</f>
        <v>578906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'[1]Prior Year'!AC72</f>
        <v>0</v>
      </c>
      <c r="C522" s="240">
        <f>AC71</f>
        <v>0</v>
      </c>
      <c r="D522" s="240">
        <f>'[1]Prior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'[1]Prior Year'!AD72</f>
        <v>0</v>
      </c>
      <c r="C523" s="240">
        <f>AD71</f>
        <v>0</v>
      </c>
      <c r="D523" s="240">
        <f>'[1]Prior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'[1]Prior Year'!AE72</f>
        <v>0</v>
      </c>
      <c r="C524" s="240">
        <f>AE71</f>
        <v>0</v>
      </c>
      <c r="D524" s="240">
        <f>'[1]Prior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'[1]Prior Year'!AF72</f>
        <v>0</v>
      </c>
      <c r="C525" s="240">
        <f>AF71</f>
        <v>0</v>
      </c>
      <c r="D525" s="240">
        <f>'[1]Prior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'[1]Prior Year'!AG72</f>
        <v>0</v>
      </c>
      <c r="C526" s="240">
        <f>AG71</f>
        <v>0</v>
      </c>
      <c r="D526" s="240">
        <f>'[1]Prior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'[1]Prior Year'!AH72</f>
        <v>0</v>
      </c>
      <c r="C527" s="240">
        <f>AH71</f>
        <v>0</v>
      </c>
      <c r="D527" s="240">
        <f>'[1]Prior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'[1]Prior Year'!AI72</f>
        <v>0</v>
      </c>
      <c r="C528" s="240">
        <f>AI71</f>
        <v>0</v>
      </c>
      <c r="D528" s="240">
        <f>'[1]Prior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'[1]Prior Year'!AJ72</f>
        <v>0</v>
      </c>
      <c r="C529" s="240">
        <f>AJ71</f>
        <v>0</v>
      </c>
      <c r="D529" s="240">
        <f>'[1]Prior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'[1]Prior Year'!AK72</f>
        <v>0</v>
      </c>
      <c r="C530" s="240">
        <f>AK71</f>
        <v>0</v>
      </c>
      <c r="D530" s="240">
        <f>'[1]Prior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'[1]Prior Year'!AL72</f>
        <v>0</v>
      </c>
      <c r="C531" s="240">
        <f>AL71</f>
        <v>0</v>
      </c>
      <c r="D531" s="240">
        <f>'[1]Prior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'[1]Prior Year'!AM72</f>
        <v>17103.87</v>
      </c>
      <c r="C532" s="240">
        <f>AM71</f>
        <v>161614</v>
      </c>
      <c r="D532" s="240">
        <f>'[1]Prior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'[1]Prior Year'!AN72</f>
        <v>0</v>
      </c>
      <c r="C533" s="240">
        <f>AN71</f>
        <v>0</v>
      </c>
      <c r="D533" s="240">
        <f>'[1]Prior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'[1]Prior Year'!AO72</f>
        <v>0</v>
      </c>
      <c r="C534" s="240">
        <f>AO71</f>
        <v>0</v>
      </c>
      <c r="D534" s="240">
        <f>'[1]Prior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'[1]Prior Year'!AP72</f>
        <v>0</v>
      </c>
      <c r="C535" s="240">
        <f>AP71</f>
        <v>0</v>
      </c>
      <c r="D535" s="240">
        <f>'[1]Prior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'[1]Prior Year'!AQ72</f>
        <v>0</v>
      </c>
      <c r="C536" s="240">
        <f>AQ71</f>
        <v>0</v>
      </c>
      <c r="D536" s="240">
        <f>'[1]Prior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'[1]Prior Year'!AR72</f>
        <v>0</v>
      </c>
      <c r="C537" s="240">
        <f>AR71</f>
        <v>0</v>
      </c>
      <c r="D537" s="240">
        <f>'[1]Prior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'[1]Prior Year'!AS72</f>
        <v>0</v>
      </c>
      <c r="C538" s="240">
        <f>AS71</f>
        <v>0</v>
      </c>
      <c r="D538" s="240">
        <f>'[1]Prior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'[1]Prior Year'!AT72</f>
        <v>0</v>
      </c>
      <c r="C539" s="240">
        <f>AT71</f>
        <v>0</v>
      </c>
      <c r="D539" s="240">
        <f>'[1]Prior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'[1]Prior Year'!AU72</f>
        <v>0</v>
      </c>
      <c r="C540" s="240">
        <f>AU71</f>
        <v>131019</v>
      </c>
      <c r="D540" s="240">
        <f>'[1]Prior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'[1]Prior Year'!AV72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'[1]Prior Year'!AW72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'[1]Prior Year'!AX72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'[1]Prior Year'!AY72</f>
        <v>110010.62</v>
      </c>
      <c r="C544" s="240">
        <f>AY71</f>
        <v>564509</v>
      </c>
      <c r="D544" s="240">
        <f>'[1]Prior Year'!AY59</f>
        <v>2043</v>
      </c>
      <c r="E544" s="180">
        <f>AY59</f>
        <v>41586</v>
      </c>
      <c r="F544" s="263">
        <f t="shared" ref="F544:G550" si="19">IF(B544=0,"",IF(D544=0,"",B544/D544))</f>
        <v>53.847586882036218</v>
      </c>
      <c r="G544" s="263">
        <f t="shared" si="19"/>
        <v>13.574496224691002</v>
      </c>
      <c r="H544" s="265">
        <f t="shared" si="16"/>
        <v>-0.74790892200186021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'[1]Prior Year'!AZ72</f>
        <v>10964</v>
      </c>
      <c r="C545" s="240">
        <f>AZ71</f>
        <v>65754</v>
      </c>
      <c r="D545" s="240">
        <f>'[1]Prior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'[1]Prior Year'!BA72</f>
        <v>2145</v>
      </c>
      <c r="C546" s="240">
        <f>BA71</f>
        <v>32860</v>
      </c>
      <c r="D546" s="240">
        <f>'[1]Prior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'[1]Prior Year'!BB72</f>
        <v>79654.539999999994</v>
      </c>
      <c r="C547" s="240">
        <f>BB71</f>
        <v>552878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'[1]Prior Year'!BC72</f>
        <v>206</v>
      </c>
      <c r="C548" s="240">
        <f>BC71</f>
        <v>20054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'[1]Prior Year'!BD72</f>
        <v>64521.47</v>
      </c>
      <c r="C549" s="240">
        <f>BD71</f>
        <v>91419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'[1]Prior Year'!BE72</f>
        <v>275225.31</v>
      </c>
      <c r="C550" s="240">
        <f>BE71</f>
        <v>1208721</v>
      </c>
      <c r="D550" s="240">
        <f>'[1]Prior Year'!BE59</f>
        <v>68235</v>
      </c>
      <c r="E550" s="180">
        <f>BE59</f>
        <v>68235</v>
      </c>
      <c r="F550" s="263">
        <f t="shared" si="19"/>
        <v>4.0334917564299841</v>
      </c>
      <c r="G550" s="263">
        <f t="shared" si="19"/>
        <v>17.714091009012972</v>
      </c>
      <c r="H550" s="265">
        <f t="shared" si="16"/>
        <v>3.3917508894803321</v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'[1]Prior Year'!BF72</f>
        <v>56061.66</v>
      </c>
      <c r="C551" s="240">
        <f>BF71</f>
        <v>216822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'[1]Prior Year'!BG72</f>
        <v>26548.09</v>
      </c>
      <c r="C552" s="240">
        <f>BG71</f>
        <v>134783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'[1]Prior Year'!BH72</f>
        <v>31852.47</v>
      </c>
      <c r="C553" s="240">
        <f>BH71</f>
        <v>68612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'[1]Prior Year'!BI72</f>
        <v>0</v>
      </c>
      <c r="C554" s="240">
        <f>BI71</f>
        <v>72103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'[1]Prior Year'!BJ72</f>
        <v>143761.38999999998</v>
      </c>
      <c r="C555" s="240">
        <f>BJ71</f>
        <v>265783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'[1]Prior Year'!BK72</f>
        <v>47579.44</v>
      </c>
      <c r="C556" s="240">
        <f>BK71</f>
        <v>306747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'[1]Prior Year'!BL72</f>
        <v>150624.18</v>
      </c>
      <c r="C557" s="240">
        <f>BL71</f>
        <v>833475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'[1]Prior Year'!BM72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'[1]Prior Year'!BN72</f>
        <v>96931.770000000019</v>
      </c>
      <c r="C559" s="240">
        <f>BN71</f>
        <v>1504003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'[1]Prior Year'!BO72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'[1]Prior Year'!BP72</f>
        <v>53331.740000000005</v>
      </c>
      <c r="C561" s="240">
        <f>BP71</f>
        <v>254003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'[1]Prior Year'!BQ72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'[1]Prior Year'!BR72</f>
        <v>169187.63</v>
      </c>
      <c r="C563" s="240">
        <f>BR71</f>
        <v>217741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'[1]Prior Year'!BS72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'[1]Prior Year'!BT72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'[1]Prior Year'!BU72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'[1]Prior Year'!BV72</f>
        <v>40275.259999999995</v>
      </c>
      <c r="C567" s="240">
        <f>BV71</f>
        <v>165209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'[1]Prior Year'!BW72</f>
        <v>318100.08999999997</v>
      </c>
      <c r="C568" s="240">
        <f>BW71</f>
        <v>2044738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'[1]Prior Year'!BX72</f>
        <v>31443.54</v>
      </c>
      <c r="C569" s="240">
        <f>BX71</f>
        <v>201085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'[1]Prior Year'!BY72</f>
        <v>348246.48000000004</v>
      </c>
      <c r="C570" s="240">
        <f>BY71</f>
        <v>1009207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'[1]Prior Year'!BZ72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'[1]Prior Year'!CA72</f>
        <v>0</v>
      </c>
      <c r="C572" s="240">
        <f>CA71</f>
        <v>318676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'[1]Prior Year'!CB72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'[1]Prior Year'!CC72</f>
        <v>48570.12</v>
      </c>
      <c r="C574" s="240">
        <f>CC71</f>
        <v>126735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'[1]Prior Year'!CD72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46983</v>
      </c>
      <c r="E612" s="180">
        <f>SUM(C624:D647)+SUM(C668:D713)</f>
        <v>13169121.230253495</v>
      </c>
      <c r="F612" s="180">
        <f>CE64-(AX64+BD64+BE64+BG64+BJ64+BN64+BP64+BQ64+CB64+CC64+CD64)</f>
        <v>434084</v>
      </c>
      <c r="G612" s="180">
        <f>CE77-(AX77+AY77+BD77+BE77+BG77+BJ77+BN77+BP77+BQ77+CB77+CC77+CD77)</f>
        <v>41586</v>
      </c>
      <c r="H612" s="197">
        <f>CE60-(AX60+AY60+AZ60+BD60+BE60+BG60+BJ60+BN60+BO60+BP60+BQ60+BR60+CB60+CC60+CD60)</f>
        <v>90.254999999999967</v>
      </c>
      <c r="I612" s="180">
        <f>CE78-(AX78+AY78+AZ78+BD78+BE78+BF78+BG78+BJ78+BN78+BO78+BP78+BQ78+BR78+CB78+CC78+CD78)</f>
        <v>6277.8181818181811</v>
      </c>
      <c r="J612" s="180">
        <f>CE79-(AX79+AY79+AZ79+BA79+BD79+BE79+BF79+BG79+BJ79+BN79+BO79+BP79+BQ79+BR79+CB79+CC79+CD79)</f>
        <v>51456</v>
      </c>
      <c r="K612" s="180">
        <f>CE75-(AW75+AX75+AY75+AZ75+BA75+BB75+BC75+BD75+BE75+BF75+BG75+BH75+BI75+BJ75+BK75+BL75+BM75+BN75+BO75+BP75+BQ75+BR75+BS75+BT75+BU75+BV75+BW75+BX75+CB75+CC75+CD75)</f>
        <v>27714895</v>
      </c>
      <c r="L612" s="197">
        <f>CE80-(AW80+AX80+AY80+AZ80+BA80+BB80+BC80+BD80+BE80+BF80+BG80+BH80+BI80+BJ80+BK80+BL80+BM80+BN80+BO80+BP80+BQ80+BR80+BS80+BT80+BU80+BV80+BW80+BX80+BY80+BZ80+CA80+CB80+CC80+CD80)</f>
        <v>41.23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1208721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1208721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265783</v>
      </c>
      <c r="D617" s="180">
        <f>(D615/D612)*BJ76</f>
        <v>6174.4256433177961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134783</v>
      </c>
      <c r="D618" s="180">
        <f>(D615/D612)*BG76</f>
        <v>5891.4311346657305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1504003</v>
      </c>
      <c r="D619" s="180">
        <f>(D615/D612)*BN76</f>
        <v>163004.8369835898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126735</v>
      </c>
      <c r="D620" s="180">
        <f>(D615/D612)*CC76</f>
        <v>2521.2238043547668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254003</v>
      </c>
      <c r="D621" s="180">
        <f>(D615/D612)*BP76</f>
        <v>2932.8521805759528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2465831.7697465038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91419</v>
      </c>
      <c r="D624" s="180">
        <f>(D615/D612)*BD76</f>
        <v>7435.0375454951791</v>
      </c>
      <c r="E624" s="180">
        <f>(E623/E612)*SUM(C624:D624)</f>
        <v>18509.771615391495</v>
      </c>
      <c r="F624" s="180">
        <f>SUM(C624:E624)</f>
        <v>117363.80916088667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564509</v>
      </c>
      <c r="D625" s="180">
        <f>(D615/D612)*AY76</f>
        <v>68922.0262435349</v>
      </c>
      <c r="E625" s="180">
        <f>(E623/E612)*SUM(C625:D625)</f>
        <v>118605.81440059943</v>
      </c>
      <c r="F625" s="180">
        <f>(F624/F612)*AY64</f>
        <v>47111.098983256365</v>
      </c>
      <c r="G625" s="180">
        <f>SUM(C625:F625)</f>
        <v>799147.9396273907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217741</v>
      </c>
      <c r="D626" s="180">
        <f>(D615/D612)*BR76</f>
        <v>4990.9940616818849</v>
      </c>
      <c r="E626" s="180">
        <f>(E623/E612)*SUM(C626:D626)</f>
        <v>41705.108297929517</v>
      </c>
      <c r="F626" s="180">
        <f>(F624/F612)*BR64</f>
        <v>338.2343630732052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65754</v>
      </c>
      <c r="D628" s="180">
        <f>(D615/D612)*AZ76</f>
        <v>49909.940616818851</v>
      </c>
      <c r="E628" s="180">
        <f>(E623/E612)*SUM(C628:D628)</f>
        <v>21657.315959079748</v>
      </c>
      <c r="F628" s="180">
        <f>(F624/F612)*AZ64</f>
        <v>0</v>
      </c>
      <c r="G628" s="180">
        <f>(G625/G612)*AZ77</f>
        <v>0</v>
      </c>
      <c r="H628" s="180">
        <f>SUM(C626:G628)</f>
        <v>402096.59329858323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216822</v>
      </c>
      <c r="D629" s="180">
        <f>(D615/D612)*BF76</f>
        <v>32853.089777153436</v>
      </c>
      <c r="E629" s="180">
        <f>(E623/E612)*SUM(C629:D629)</f>
        <v>46750.026651168177</v>
      </c>
      <c r="F629" s="180">
        <f>(F624/F612)*BF64</f>
        <v>6501.6160901849444</v>
      </c>
      <c r="G629" s="180">
        <f>(G625/G612)*BF77</f>
        <v>0</v>
      </c>
      <c r="H629" s="180">
        <f>(H628/H612)*BF60</f>
        <v>14790.988751330084</v>
      </c>
      <c r="I629" s="180">
        <f>SUM(C629:H629)</f>
        <v>317717.72126983665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32860</v>
      </c>
      <c r="D630" s="180">
        <f>(D615/D612)*BA76</f>
        <v>0</v>
      </c>
      <c r="E630" s="180">
        <f>(E623/E612)*SUM(C630:D630)</f>
        <v>6152.8199594461785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39012.819959446177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552878</v>
      </c>
      <c r="D632" s="180">
        <f>(D615/D612)*BB76</f>
        <v>33676.346529595809</v>
      </c>
      <c r="E632" s="180">
        <f>(E623/E612)*SUM(C632:D632)</f>
        <v>109828.46289188092</v>
      </c>
      <c r="F632" s="180">
        <f>(F624/F612)*BB64</f>
        <v>382.84561000132578</v>
      </c>
      <c r="G632" s="180">
        <f>(G625/G612)*BB77</f>
        <v>0</v>
      </c>
      <c r="H632" s="180">
        <f>(H628/H612)*BB60</f>
        <v>31230.370827356594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20054</v>
      </c>
      <c r="D633" s="180">
        <f>(D615/D612)*BC76</f>
        <v>0</v>
      </c>
      <c r="E633" s="180">
        <f>(E623/E612)*SUM(C633:D633)</f>
        <v>3754.9802637472203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72103</v>
      </c>
      <c r="D634" s="180">
        <f>(D615/D612)*BI76</f>
        <v>0</v>
      </c>
      <c r="E634" s="180">
        <f>(E623/E612)*SUM(C634:D634)</f>
        <v>13500.814897624705</v>
      </c>
      <c r="F634" s="180">
        <f>(F624/F612)*BI64</f>
        <v>289.56754824252818</v>
      </c>
      <c r="G634" s="180">
        <f>(G625/G612)*BI77</f>
        <v>0</v>
      </c>
      <c r="H634" s="180">
        <f>(H628/H612)*BI60</f>
        <v>7172.7385209763361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306747</v>
      </c>
      <c r="D635" s="180">
        <f>(D615/D612)*BK76</f>
        <v>6405.9666049422131</v>
      </c>
      <c r="E635" s="180">
        <f>(E623/E612)*SUM(C635:D635)</f>
        <v>58635.843678839658</v>
      </c>
      <c r="F635" s="180">
        <f>(F624/F612)*BK64</f>
        <v>17.303756384240714</v>
      </c>
      <c r="G635" s="180">
        <f>(G625/G612)*BK77</f>
        <v>0</v>
      </c>
      <c r="H635" s="180">
        <f>(H628/H612)*BK60</f>
        <v>16929.44495634166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68612</v>
      </c>
      <c r="D636" s="180">
        <f>(D615/D612)*BH76</f>
        <v>7383.5839984675304</v>
      </c>
      <c r="E636" s="180">
        <f>(E623/E612)*SUM(C636:D636)</f>
        <v>14229.675777709665</v>
      </c>
      <c r="F636" s="180">
        <f>(F624/F612)*BH64</f>
        <v>1369.4300950965503</v>
      </c>
      <c r="G636" s="180">
        <f>(G625/G612)*BH77</f>
        <v>0</v>
      </c>
      <c r="H636" s="180">
        <f>(H628/H612)*BH60</f>
        <v>2383.4876451691553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833475</v>
      </c>
      <c r="D637" s="180">
        <f>(D615/D612)*BL76</f>
        <v>35117.045846369962</v>
      </c>
      <c r="E637" s="180">
        <f>(E623/E612)*SUM(C637:D637)</f>
        <v>162638.17639378377</v>
      </c>
      <c r="F637" s="180">
        <f>(F624/F612)*BL64</f>
        <v>255.23040666755054</v>
      </c>
      <c r="G637" s="180">
        <f>(G625/G612)*BL77</f>
        <v>0</v>
      </c>
      <c r="H637" s="180">
        <f>(H628/H612)*BL60</f>
        <v>40719.770237095472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165209</v>
      </c>
      <c r="D642" s="180">
        <f>(D615/D612)*BV76</f>
        <v>11113.966157972032</v>
      </c>
      <c r="E642" s="180">
        <f>(E623/E612)*SUM(C642:D642)</f>
        <v>33015.3215302959</v>
      </c>
      <c r="F642" s="180">
        <f>(F624/F612)*BV64</f>
        <v>3225.2579673063669</v>
      </c>
      <c r="G642" s="180">
        <f>(G625/G612)*BV77</f>
        <v>0</v>
      </c>
      <c r="H642" s="180">
        <f>(H628/H612)*BV60</f>
        <v>8375.6201362953489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2044738</v>
      </c>
      <c r="D643" s="180">
        <f>(D615/D612)*BW76</f>
        <v>30331.865972798671</v>
      </c>
      <c r="E643" s="180">
        <f>(E623/E612)*SUM(C643:D643)</f>
        <v>388543.25284853141</v>
      </c>
      <c r="F643" s="180">
        <f>(F624/F612)*BW64</f>
        <v>97.33362966135401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201085</v>
      </c>
      <c r="D644" s="180">
        <f>(D615/D612)*BX76</f>
        <v>8541.2888065896168</v>
      </c>
      <c r="E644" s="180">
        <f>(E623/E612)*SUM(C644:D644)</f>
        <v>39251.150754528717</v>
      </c>
      <c r="F644" s="180">
        <f>(F624/F612)*BX64</f>
        <v>0</v>
      </c>
      <c r="G644" s="180">
        <f>(G625/G612)*BX77</f>
        <v>0</v>
      </c>
      <c r="H644" s="180">
        <f>(H628/H612)*BX60</f>
        <v>9222.0923841124313</v>
      </c>
      <c r="I644" s="180">
        <f>(I629/I612)*BX78</f>
        <v>0</v>
      </c>
      <c r="J644" s="180">
        <f>(J630/J612)*BX79</f>
        <v>0</v>
      </c>
      <c r="K644" s="180">
        <f>SUM(C631:J644)</f>
        <v>5342539.2366743842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1009207</v>
      </c>
      <c r="D645" s="180">
        <f>(D615/D612)*BY76</f>
        <v>12323.124513121767</v>
      </c>
      <c r="E645" s="180">
        <f>(E623/E612)*SUM(C645:D645)</f>
        <v>191274.83077540706</v>
      </c>
      <c r="F645" s="180">
        <f>(F624/F612)*BY64</f>
        <v>0</v>
      </c>
      <c r="G645" s="180">
        <f>(G625/G612)*BY77</f>
        <v>0</v>
      </c>
      <c r="H645" s="180">
        <f>(H628/H612)*BY60</f>
        <v>37601.188271453582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318676</v>
      </c>
      <c r="D647" s="180">
        <f>(D615/D612)*CA76</f>
        <v>0</v>
      </c>
      <c r="E647" s="180">
        <f>(E623/E612)*SUM(C647:D647)</f>
        <v>59669.9955385414</v>
      </c>
      <c r="F647" s="180">
        <f>(F624/F612)*CA64</f>
        <v>0</v>
      </c>
      <c r="G647" s="180">
        <f>(G625/G612)*CA77</f>
        <v>0</v>
      </c>
      <c r="H647" s="180">
        <f>(H628/H612)*CA60</f>
        <v>19424.310528855171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1648176.449627379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10275917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4414193</v>
      </c>
      <c r="D673" s="180">
        <f>(D615/D612)*H76</f>
        <v>697452.82995977264</v>
      </c>
      <c r="E673" s="180">
        <f>(E623/E612)*SUM(C673:D673)</f>
        <v>957122.23031638202</v>
      </c>
      <c r="F673" s="180">
        <f>(F624/F612)*H64</f>
        <v>15798.870321198779</v>
      </c>
      <c r="G673" s="180">
        <f>(G625/G612)*H77</f>
        <v>799147.9396273907</v>
      </c>
      <c r="H673" s="180">
        <f>(H628/H612)*H60</f>
        <v>183684.47777630703</v>
      </c>
      <c r="I673" s="180">
        <f>(I629/I612)*H78</f>
        <v>317717.72126983665</v>
      </c>
      <c r="J673" s="180">
        <f>(J630/J612)*H79</f>
        <v>39012.819959446177</v>
      </c>
      <c r="K673" s="180">
        <f>(K644/K612)*H75</f>
        <v>5312930.1031469731</v>
      </c>
      <c r="L673" s="180">
        <f>(L647/L612)*H80</f>
        <v>1648176.449627379</v>
      </c>
      <c r="M673" s="180">
        <f t="shared" si="20"/>
        <v>9971043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73304</v>
      </c>
      <c r="D686" s="180">
        <f>(D615/D612)*U76</f>
        <v>1672.2402783985697</v>
      </c>
      <c r="E686" s="180">
        <f>(E623/E612)*SUM(C686:D686)</f>
        <v>14038.810336858285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15711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578906</v>
      </c>
      <c r="D693" s="180">
        <f>(D615/D612)*AB76</f>
        <v>19397.987229423408</v>
      </c>
      <c r="E693" s="180">
        <f>(E623/E612)*SUM(C693:D693)</f>
        <v>112028.5062215894</v>
      </c>
      <c r="F693" s="180">
        <f>(F624/F612)*AB64</f>
        <v>39813.780470589852</v>
      </c>
      <c r="G693" s="180">
        <f>(G625/G612)*AB77</f>
        <v>0</v>
      </c>
      <c r="H693" s="180">
        <f>(H628/H612)*AB60</f>
        <v>10113.115802867256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181353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161614</v>
      </c>
      <c r="D704" s="180">
        <f>(D615/D612)*AM76</f>
        <v>668.89611135942789</v>
      </c>
      <c r="E704" s="180">
        <f>(E623/E612)*SUM(C704:D704)</f>
        <v>30386.410294300153</v>
      </c>
      <c r="F704" s="180">
        <f>(F624/F612)*AM64</f>
        <v>1587.8900194475893</v>
      </c>
      <c r="G704" s="180">
        <f>(G625/G612)*AM77</f>
        <v>0</v>
      </c>
      <c r="H704" s="180">
        <f>(H628/H612)*AM60</f>
        <v>13365.351281322364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46009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131019</v>
      </c>
      <c r="D712" s="180">
        <f>(D615/D612)*AU76</f>
        <v>0</v>
      </c>
      <c r="E712" s="180">
        <f>(E623/E612)*SUM(C712:D712)</f>
        <v>24532.450342869106</v>
      </c>
      <c r="F712" s="180">
        <f>(F624/F612)*AU64</f>
        <v>575.34989977600378</v>
      </c>
      <c r="G712" s="180">
        <f>(G625/G612)*AU77</f>
        <v>0</v>
      </c>
      <c r="H712" s="180">
        <f>(H628/H612)*AU60</f>
        <v>7083.636179100854</v>
      </c>
      <c r="I712" s="180">
        <f>(I629/I612)*AU78</f>
        <v>0</v>
      </c>
      <c r="J712" s="180">
        <f>(J630/J612)*AU79</f>
        <v>0</v>
      </c>
      <c r="K712" s="180">
        <f>(K644/K612)*AU75</f>
        <v>29609.133527411359</v>
      </c>
      <c r="L712" s="180">
        <f>(L647/L612)*AU80</f>
        <v>0</v>
      </c>
      <c r="M712" s="180">
        <f t="shared" si="20"/>
        <v>61801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">
      <c r="C715" s="180">
        <f>SUM(C614:C647)+SUM(C668:C713)</f>
        <v>15634953</v>
      </c>
      <c r="D715" s="180">
        <f>SUM(D616:D647)+SUM(D668:D713)</f>
        <v>1208721</v>
      </c>
      <c r="E715" s="180">
        <f>SUM(E624:E647)+SUM(E668:E713)</f>
        <v>2465831.7697465038</v>
      </c>
      <c r="F715" s="180">
        <f>SUM(F625:F648)+SUM(F668:F713)</f>
        <v>117363.80916088665</v>
      </c>
      <c r="G715" s="180">
        <f>SUM(G626:G647)+SUM(G668:G713)</f>
        <v>799147.9396273907</v>
      </c>
      <c r="H715" s="180">
        <f>SUM(H629:H647)+SUM(H668:H713)</f>
        <v>402096.59329858329</v>
      </c>
      <c r="I715" s="180">
        <f>SUM(I630:I647)+SUM(I668:I713)</f>
        <v>317717.72126983665</v>
      </c>
      <c r="J715" s="180">
        <f>SUM(J631:J647)+SUM(J668:J713)</f>
        <v>39012.819959446177</v>
      </c>
      <c r="K715" s="180">
        <f>SUM(K668:K713)</f>
        <v>5342539.2366743842</v>
      </c>
      <c r="L715" s="180">
        <f>SUM(L668:L713)</f>
        <v>1648176.449627379</v>
      </c>
      <c r="M715" s="180">
        <f>SUM(M668:M713)</f>
        <v>10275917</v>
      </c>
      <c r="N715" s="198" t="s">
        <v>742</v>
      </c>
    </row>
    <row r="716" spans="1:83" ht="12.65" customHeight="1" x14ac:dyDescent="0.3">
      <c r="C716" s="180">
        <f>CE71</f>
        <v>15634953</v>
      </c>
      <c r="D716" s="180">
        <f>D615</f>
        <v>1208721</v>
      </c>
      <c r="E716" s="180">
        <f>E623</f>
        <v>2465831.7697465038</v>
      </c>
      <c r="F716" s="180">
        <f>F624</f>
        <v>117363.80916088667</v>
      </c>
      <c r="G716" s="180">
        <f>G625</f>
        <v>799147.9396273907</v>
      </c>
      <c r="H716" s="180">
        <f>H628</f>
        <v>402096.59329858323</v>
      </c>
      <c r="I716" s="180">
        <f>I629</f>
        <v>317717.72126983665</v>
      </c>
      <c r="J716" s="180">
        <f>J630</f>
        <v>39012.819959446177</v>
      </c>
      <c r="K716" s="180">
        <f>K644</f>
        <v>5342539.2366743842</v>
      </c>
      <c r="L716" s="180">
        <f>L647</f>
        <v>1648176.449627379</v>
      </c>
      <c r="M716" s="180">
        <f>C648</f>
        <v>10275917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926*2019*A</v>
      </c>
      <c r="B722" s="276">
        <f>ROUND(C165,0)</f>
        <v>627045</v>
      </c>
      <c r="C722" s="276">
        <f>ROUND(C166,0)</f>
        <v>26758</v>
      </c>
      <c r="D722" s="276">
        <f>ROUND(C167,0)</f>
        <v>223403</v>
      </c>
      <c r="E722" s="276">
        <f>ROUND(C168,0)</f>
        <v>295777</v>
      </c>
      <c r="F722" s="276">
        <f>ROUND(C169,0)</f>
        <v>29634</v>
      </c>
      <c r="G722" s="276">
        <f>ROUND(C170,0)</f>
        <v>100152</v>
      </c>
      <c r="H722" s="276">
        <f>ROUND(C171+C172,0)</f>
        <v>196514</v>
      </c>
      <c r="I722" s="276">
        <f>ROUND(C175,0)</f>
        <v>0</v>
      </c>
      <c r="J722" s="276">
        <f>ROUND(C176,0)</f>
        <v>1654</v>
      </c>
      <c r="K722" s="276">
        <f>ROUND(C179,0)</f>
        <v>3694</v>
      </c>
      <c r="L722" s="276">
        <f>ROUND(C180,0)</f>
        <v>0</v>
      </c>
      <c r="M722" s="276">
        <f>ROUND(C183,0)</f>
        <v>43142</v>
      </c>
      <c r="N722" s="276">
        <f>ROUND(C184,0)</f>
        <v>309976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4759217</v>
      </c>
      <c r="S722" s="276">
        <f>ROUND(C195,0)</f>
        <v>0</v>
      </c>
      <c r="T722" s="276">
        <f>ROUND(D195,0)</f>
        <v>0</v>
      </c>
      <c r="U722" s="276">
        <f>ROUND(B196,0)</f>
        <v>0</v>
      </c>
      <c r="V722" s="276">
        <f>ROUND(C196,0)</f>
        <v>1099025</v>
      </c>
      <c r="W722" s="276">
        <f>ROUND(D196,0)</f>
        <v>0</v>
      </c>
      <c r="X722" s="276">
        <f>ROUND(B197,0)</f>
        <v>0</v>
      </c>
      <c r="Y722" s="276">
        <f>ROUND(C197,0)</f>
        <v>32290938</v>
      </c>
      <c r="Z722" s="276">
        <f>ROUND(D197,0)</f>
        <v>0</v>
      </c>
      <c r="AA722" s="276">
        <f>ROUND(B198,0)</f>
        <v>0</v>
      </c>
      <c r="AB722" s="276">
        <f>ROUND(C198,0)</f>
        <v>2048380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20564</v>
      </c>
      <c r="AH722" s="276">
        <f>ROUND(C200,0)</f>
        <v>1596903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33723158</v>
      </c>
      <c r="AQ722" s="276">
        <f>ROUND(C203,0)</f>
        <v>-33730339</v>
      </c>
      <c r="AR722" s="276">
        <f>ROUND(D203,0)</f>
        <v>0</v>
      </c>
      <c r="AS722" s="276"/>
      <c r="AT722" s="276"/>
      <c r="AU722" s="276"/>
      <c r="AV722" s="276">
        <f>ROUND(B209,0)</f>
        <v>0</v>
      </c>
      <c r="AW722" s="276">
        <f>ROUND(C209,0)</f>
        <v>91585</v>
      </c>
      <c r="AX722" s="276">
        <f>ROUND(D209,0)</f>
        <v>0</v>
      </c>
      <c r="AY722" s="276">
        <f>ROUND(B210,0)</f>
        <v>321693</v>
      </c>
      <c r="AZ722" s="276">
        <f>ROUND(C210,0)</f>
        <v>1314805</v>
      </c>
      <c r="BA722" s="276">
        <f>ROUND(D210,0)</f>
        <v>0</v>
      </c>
      <c r="BB722" s="276">
        <f>ROUND(B211,0)</f>
        <v>0</v>
      </c>
      <c r="BC722" s="276">
        <f>ROUND(C211,0)</f>
        <v>490100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59492</v>
      </c>
      <c r="BI722" s="276">
        <f>ROUND(C213,0)</f>
        <v>388032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2499555</v>
      </c>
      <c r="BU722" s="276">
        <f>ROUND(C224,0)</f>
        <v>1070328</v>
      </c>
      <c r="BV722" s="276">
        <f>ROUND(C225,0)</f>
        <v>0</v>
      </c>
      <c r="BW722" s="276">
        <f>ROUND(C226,0)</f>
        <v>7101535</v>
      </c>
      <c r="BX722" s="276">
        <f>ROUND(C227,0)</f>
        <v>951034</v>
      </c>
      <c r="BY722" s="276">
        <f>ROUND(C228,0)</f>
        <v>1812855</v>
      </c>
      <c r="BZ722" s="276">
        <f>ROUND(C231,0)</f>
        <v>49</v>
      </c>
      <c r="CA722" s="276">
        <f>ROUND(C233,0)</f>
        <v>116088</v>
      </c>
      <c r="CB722" s="276">
        <f>ROUND(C234,0)</f>
        <v>0</v>
      </c>
      <c r="CC722" s="276">
        <f>ROUND(C238+C239,0)</f>
        <v>207732</v>
      </c>
      <c r="CD722" s="276">
        <f>D221</f>
        <v>735307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926*2019*A</v>
      </c>
      <c r="B726" s="276">
        <f>ROUND(C111,0)</f>
        <v>1381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13862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60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100</v>
      </c>
      <c r="W726" s="276">
        <f>ROUND(C129,0)</f>
        <v>0</v>
      </c>
      <c r="X726" s="276">
        <f>ROUND(B138,0)</f>
        <v>196</v>
      </c>
      <c r="Y726" s="276">
        <f>ROUND(B139,0)</f>
        <v>2753</v>
      </c>
      <c r="Z726" s="276">
        <f>ROUND(B140,0)</f>
        <v>41</v>
      </c>
      <c r="AA726" s="276">
        <f>ROUND(B141,0)</f>
        <v>4955400</v>
      </c>
      <c r="AB726" s="276">
        <f>ROUND(B142,0)</f>
        <v>30200</v>
      </c>
      <c r="AC726" s="276">
        <f>ROUND(C138,0)</f>
        <v>91</v>
      </c>
      <c r="AD726" s="276">
        <f>ROUND(C139,0)</f>
        <v>1064</v>
      </c>
      <c r="AE726" s="276">
        <f>ROUND(C140,0)</f>
        <v>0</v>
      </c>
      <c r="AF726" s="276">
        <f>ROUND(C141,0)</f>
        <v>1915200</v>
      </c>
      <c r="AG726" s="276">
        <f>ROUND(C142,0)</f>
        <v>0</v>
      </c>
      <c r="AH726" s="276">
        <f>ROUND(D138,0)</f>
        <v>1094</v>
      </c>
      <c r="AI726" s="276">
        <f>ROUND(D139,0)</f>
        <v>10045</v>
      </c>
      <c r="AJ726" s="276">
        <f>ROUND(D140,0)</f>
        <v>210</v>
      </c>
      <c r="AK726" s="276">
        <f>ROUND(D141,0)</f>
        <v>20690695</v>
      </c>
      <c r="AL726" s="276">
        <f>ROUND(D142,0)</f>
        <v>123400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926*2019*A</v>
      </c>
      <c r="B730" s="276">
        <f>ROUND(C250,0)</f>
        <v>-39953</v>
      </c>
      <c r="C730" s="276">
        <f>ROUND(C251,0)</f>
        <v>0</v>
      </c>
      <c r="D730" s="276">
        <f>ROUND(C252,0)</f>
        <v>6928003</v>
      </c>
      <c r="E730" s="276">
        <f>ROUND(C253,0)</f>
        <v>2739993</v>
      </c>
      <c r="F730" s="276">
        <f>ROUND(C254,0)</f>
        <v>8200</v>
      </c>
      <c r="G730" s="276">
        <f>ROUND(C255,0)</f>
        <v>0</v>
      </c>
      <c r="H730" s="276">
        <f>ROUND(C256,0)</f>
        <v>0</v>
      </c>
      <c r="I730" s="276">
        <f>ROUND(C257,0)</f>
        <v>58440</v>
      </c>
      <c r="J730" s="276">
        <f>ROUND(C258,0)</f>
        <v>49252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4759217</v>
      </c>
      <c r="P730" s="276">
        <f>ROUND(C268,0)</f>
        <v>1099025</v>
      </c>
      <c r="Q730" s="276">
        <f>ROUND(C269,0)</f>
        <v>32290938</v>
      </c>
      <c r="R730" s="276">
        <f>ROUND(C270,0)</f>
        <v>2048380</v>
      </c>
      <c r="S730" s="276">
        <f>ROUND(C271,0)</f>
        <v>0</v>
      </c>
      <c r="T730" s="276">
        <f>ROUND(C272,0)</f>
        <v>1617467</v>
      </c>
      <c r="U730" s="276">
        <f>ROUND(C273,0)</f>
        <v>0</v>
      </c>
      <c r="V730" s="276">
        <f>ROUND(C274,0)</f>
        <v>-7180</v>
      </c>
      <c r="W730" s="276">
        <f>ROUND(C275,0)</f>
        <v>0</v>
      </c>
      <c r="X730" s="276">
        <f>ROUND(C276,0)</f>
        <v>2665709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24886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333560</v>
      </c>
      <c r="AI730" s="276">
        <f>ROUND(C306,0)</f>
        <v>715955</v>
      </c>
      <c r="AJ730" s="276">
        <f>ROUND(C307,0)</f>
        <v>55383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78865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-5433132</v>
      </c>
      <c r="BF730" s="276">
        <f>ROUND(C336,0)</f>
        <v>47680340</v>
      </c>
      <c r="BG730" s="276"/>
      <c r="BH730" s="276"/>
      <c r="BI730" s="276">
        <f>ROUND(CE60,2)</f>
        <v>111.03</v>
      </c>
      <c r="BJ730" s="276">
        <f>ROUND(C359,0)</f>
        <v>27561295</v>
      </c>
      <c r="BK730" s="276">
        <f>ROUND(C360,0)</f>
        <v>153600</v>
      </c>
      <c r="BL730" s="276">
        <f>ROUND(C364,0)</f>
        <v>13643039</v>
      </c>
      <c r="BM730" s="276">
        <f>ROUND(C365,0)</f>
        <v>116088</v>
      </c>
      <c r="BN730" s="276">
        <f>ROUND(C366,0)</f>
        <v>0</v>
      </c>
      <c r="BO730" s="276">
        <f>ROUND(C370,0)</f>
        <v>11657</v>
      </c>
      <c r="BP730" s="276">
        <f>ROUND(C371,0)</f>
        <v>0</v>
      </c>
      <c r="BQ730" s="276">
        <f>ROUND(C378,0)</f>
        <v>7521606</v>
      </c>
      <c r="BR730" s="276">
        <f>ROUND(C379,0)</f>
        <v>1499283</v>
      </c>
      <c r="BS730" s="276">
        <f>ROUND(C380,0)</f>
        <v>1986416</v>
      </c>
      <c r="BT730" s="276">
        <f>ROUND(C381,0)</f>
        <v>486539</v>
      </c>
      <c r="BU730" s="276">
        <f>ROUND(C382,0)</f>
        <v>138720</v>
      </c>
      <c r="BV730" s="276">
        <f>ROUND(C383,0)</f>
        <v>386625</v>
      </c>
      <c r="BW730" s="276">
        <f>ROUND(C384,0)</f>
        <v>2312733</v>
      </c>
      <c r="BX730" s="276">
        <f>ROUND(C385,0)</f>
        <v>1654</v>
      </c>
      <c r="BY730" s="276">
        <f>ROUND(C386,0)</f>
        <v>3694</v>
      </c>
      <c r="BZ730" s="276">
        <f>ROUND(C387,0)</f>
        <v>344332</v>
      </c>
      <c r="CA730" s="276">
        <f>ROUND(C388,0)</f>
        <v>0</v>
      </c>
      <c r="CB730" s="276">
        <f>C363</f>
        <v>735307</v>
      </c>
      <c r="CC730" s="276">
        <f>ROUND(C389,0)</f>
        <v>953352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926*2019*6010*A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926*2019*6030*A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926*2019*6070*A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>
        <f t="shared" si="21"/>
        <v>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926*2019*6100*A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926*2019*6120*A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926*2019*6140*A</v>
      </c>
      <c r="B739" s="276">
        <f>ROUND(H59,0)</f>
        <v>13862</v>
      </c>
      <c r="C739" s="278">
        <f>ROUND(H60,2)</f>
        <v>41.23</v>
      </c>
      <c r="D739" s="276">
        <f>ROUND(H61,0)</f>
        <v>2688652</v>
      </c>
      <c r="E739" s="276">
        <f>ROUND(H62,0)</f>
        <v>535929</v>
      </c>
      <c r="F739" s="276">
        <f>ROUND(H63,0)</f>
        <v>0</v>
      </c>
      <c r="G739" s="276">
        <f>ROUND(H64,0)</f>
        <v>58434</v>
      </c>
      <c r="H739" s="276">
        <f>ROUND(H65,0)</f>
        <v>0</v>
      </c>
      <c r="I739" s="276">
        <f>ROUND(H66,0)</f>
        <v>205763</v>
      </c>
      <c r="J739" s="276">
        <f>ROUND(H67,0)</f>
        <v>918857</v>
      </c>
      <c r="K739" s="276">
        <f>ROUND(H68,0)</f>
        <v>576</v>
      </c>
      <c r="L739" s="276">
        <f>ROUND(H69,0)</f>
        <v>5982</v>
      </c>
      <c r="M739" s="276">
        <f>ROUND(H70,0)</f>
        <v>0</v>
      </c>
      <c r="N739" s="276">
        <f>ROUND(H75,0)</f>
        <v>27561295</v>
      </c>
      <c r="O739" s="276">
        <f>ROUND(H73,0)</f>
        <v>27561295</v>
      </c>
      <c r="P739" s="276">
        <f>IF(H76&gt;0,ROUND(H76,0),0)</f>
        <v>27110</v>
      </c>
      <c r="Q739" s="276">
        <f>IF(H77&gt;0,ROUND(H77,0),0)</f>
        <v>41586</v>
      </c>
      <c r="R739" s="276">
        <f>IF(H78&gt;0,ROUND(H78,0),0)</f>
        <v>6278</v>
      </c>
      <c r="S739" s="276">
        <f>IF(H79&gt;0,ROUND(H79,0),0)</f>
        <v>51456</v>
      </c>
      <c r="T739" s="278">
        <f>IF(H80&gt;0,ROUND(H80,2),0)</f>
        <v>41.23</v>
      </c>
      <c r="U739" s="276"/>
      <c r="V739" s="277"/>
      <c r="W739" s="276"/>
      <c r="X739" s="276"/>
      <c r="Y739" s="276">
        <f t="shared" si="21"/>
        <v>9971043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926*2019*6150*A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926*2019*6170*A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926*2019*6200*A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926*2019*6210*A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926*2019*6330*A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926*2019*6400*A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926*2019*7010*A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926*2019*7020*A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>
        <f t="shared" si="21"/>
        <v>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926*2019*7030*A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926*2019*7040*A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926*2019*7050*A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926*2019*7060*A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926*2019*7070*A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0</v>
      </c>
      <c r="H752" s="276">
        <f>ROUND(U65,0)</f>
        <v>0</v>
      </c>
      <c r="I752" s="276">
        <f>ROUND(U66,0)</f>
        <v>71101</v>
      </c>
      <c r="J752" s="276">
        <f>ROUND(U67,0)</f>
        <v>2203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0</v>
      </c>
      <c r="O752" s="276">
        <f>ROUND(U73,0)</f>
        <v>0</v>
      </c>
      <c r="P752" s="276">
        <f>IF(U76&gt;0,ROUND(U76,0),0)</f>
        <v>65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15711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926*2019*7110*A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926*2019*7120*A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926*2019*7130*A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926*2019*7140*A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0</v>
      </c>
      <c r="O756" s="276">
        <f>ROUND(Y73,0)</f>
        <v>0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926*2019*7150*A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926*2019*7160*A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926*2019*7170*A</v>
      </c>
      <c r="B759" s="276"/>
      <c r="C759" s="278">
        <f>ROUND(AB60,2)</f>
        <v>2.27</v>
      </c>
      <c r="D759" s="276">
        <f>ROUND(AB61,0)</f>
        <v>277136</v>
      </c>
      <c r="E759" s="276">
        <f>ROUND(AB62,0)</f>
        <v>55242</v>
      </c>
      <c r="F759" s="276">
        <f>ROUND(AB63,0)</f>
        <v>0</v>
      </c>
      <c r="G759" s="276">
        <f>ROUND(AB64,0)</f>
        <v>147256</v>
      </c>
      <c r="H759" s="276">
        <f>ROUND(AB65,0)</f>
        <v>0</v>
      </c>
      <c r="I759" s="276">
        <f>ROUND(AB66,0)</f>
        <v>73716</v>
      </c>
      <c r="J759" s="276">
        <f>ROUND(AB67,0)</f>
        <v>25556</v>
      </c>
      <c r="K759" s="276">
        <f>ROUND(AB68,0)</f>
        <v>0</v>
      </c>
      <c r="L759" s="276">
        <f>ROUND(AB69,0)</f>
        <v>0</v>
      </c>
      <c r="M759" s="276">
        <f>ROUND(AB70,0)</f>
        <v>0</v>
      </c>
      <c r="N759" s="276">
        <f>ROUND(AB75,0)</f>
        <v>0</v>
      </c>
      <c r="O759" s="276">
        <f>ROUND(AB73,0)</f>
        <v>0</v>
      </c>
      <c r="P759" s="276">
        <f>IF(AB76&gt;0,ROUND(AB76,0),0)</f>
        <v>754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181353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926*2019*7180*A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926*2019*7190*A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926*2019*7200*A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0</v>
      </c>
      <c r="H762" s="276">
        <f>ROUND(AE65,0)</f>
        <v>0</v>
      </c>
      <c r="I762" s="276">
        <f>ROUND(AE66,0)</f>
        <v>0</v>
      </c>
      <c r="J762" s="276">
        <f>ROUND(AE67,0)</f>
        <v>0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0</v>
      </c>
      <c r="O762" s="276">
        <f>ROUND(AE73,0)</f>
        <v>0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926*2019*7220*A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926*2019*7230*A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>
        <f t="shared" si="21"/>
        <v>0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926*2019*7240*A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926*2019*7250*A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926*2019*7260*A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0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0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926*2019*7310*A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926*2019*7320*A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926*2019*7330*A</v>
      </c>
      <c r="B770" s="276">
        <f>ROUND(AM59,0)</f>
        <v>0</v>
      </c>
      <c r="C770" s="278">
        <f>ROUND(AM60,2)</f>
        <v>3</v>
      </c>
      <c r="D770" s="276">
        <f>ROUND(AM61,0)</f>
        <v>129122</v>
      </c>
      <c r="E770" s="276">
        <f>ROUND(AM62,0)</f>
        <v>25738</v>
      </c>
      <c r="F770" s="276">
        <f>ROUND(AM63,0)</f>
        <v>0</v>
      </c>
      <c r="G770" s="276">
        <f>ROUND(AM64,0)</f>
        <v>5873</v>
      </c>
      <c r="H770" s="276">
        <f>ROUND(AM65,0)</f>
        <v>0</v>
      </c>
      <c r="I770" s="276">
        <f>ROUND(AM66,0)</f>
        <v>0</v>
      </c>
      <c r="J770" s="276">
        <f>ROUND(AM67,0)</f>
        <v>881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26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46009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926*2019*7340*A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926*2019*7350*A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926*2019*7380*A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926*2019*7390*A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926*2019*7400*A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926*2019*7410*A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926*2019*7420*A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926*2019*7430*A</v>
      </c>
      <c r="B778" s="276">
        <f>ROUND(AU59,0)</f>
        <v>0</v>
      </c>
      <c r="C778" s="278">
        <f>ROUND(AU60,2)</f>
        <v>1.59</v>
      </c>
      <c r="D778" s="276">
        <f>ROUND(AU61,0)</f>
        <v>105951</v>
      </c>
      <c r="E778" s="276">
        <f>ROUND(AU62,0)</f>
        <v>21119</v>
      </c>
      <c r="F778" s="276">
        <f>ROUND(AU63,0)</f>
        <v>0</v>
      </c>
      <c r="G778" s="276">
        <f>ROUND(AU64,0)</f>
        <v>2128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1821</v>
      </c>
      <c r="M778" s="276">
        <f>ROUND(AU70,0)</f>
        <v>0</v>
      </c>
      <c r="N778" s="276">
        <f>ROUND(AU75,0)</f>
        <v>153600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61801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926*2019*7490*A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926*2019*8200*A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926*2019*8310*A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926*2019*8320*A</v>
      </c>
      <c r="B782" s="276">
        <f>ROUND(AY59,0)</f>
        <v>41586</v>
      </c>
      <c r="C782" s="278">
        <f>ROUND(AY60,2)</f>
        <v>5.73</v>
      </c>
      <c r="D782" s="276">
        <f>ROUND(AY61,0)</f>
        <v>248557</v>
      </c>
      <c r="E782" s="276">
        <f>ROUND(AY62,0)</f>
        <v>49545</v>
      </c>
      <c r="F782" s="276">
        <f>ROUND(AY63,0)</f>
        <v>0</v>
      </c>
      <c r="G782" s="276">
        <f>ROUND(AY64,0)</f>
        <v>174246</v>
      </c>
      <c r="H782" s="276">
        <f>ROUND(AY65,0)</f>
        <v>0</v>
      </c>
      <c r="I782" s="276">
        <f>ROUND(AY66,0)</f>
        <v>1360</v>
      </c>
      <c r="J782" s="276">
        <f>ROUND(AY67,0)</f>
        <v>90801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2679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926*2019*8330*A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65754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1940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926*2019*8350*A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32860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926*2019*8360*A</v>
      </c>
      <c r="B785" s="276"/>
      <c r="C785" s="278">
        <f>ROUND(BB60,2)</f>
        <v>7.01</v>
      </c>
      <c r="D785" s="276">
        <f>ROUND(BB61,0)</f>
        <v>422205</v>
      </c>
      <c r="E785" s="276">
        <f>ROUND(BB62,0)</f>
        <v>84158</v>
      </c>
      <c r="F785" s="276">
        <f>ROUND(BB63,0)</f>
        <v>0</v>
      </c>
      <c r="G785" s="276">
        <f>ROUND(BB64,0)</f>
        <v>1416</v>
      </c>
      <c r="H785" s="276">
        <f>ROUND(BB65,0)</f>
        <v>0</v>
      </c>
      <c r="I785" s="276">
        <f>ROUND(BB66,0)</f>
        <v>725</v>
      </c>
      <c r="J785" s="276">
        <f>ROUND(BB67,0)</f>
        <v>44367</v>
      </c>
      <c r="K785" s="276">
        <f>ROUND(BB68,0)</f>
        <v>0</v>
      </c>
      <c r="L785" s="276">
        <f>ROUND(BB69,0)</f>
        <v>7</v>
      </c>
      <c r="M785" s="276">
        <f>ROUND(BB70,0)</f>
        <v>0</v>
      </c>
      <c r="N785" s="276"/>
      <c r="O785" s="276"/>
      <c r="P785" s="276">
        <f>IF(BB76&gt;0,ROUND(BB76,0),0)</f>
        <v>1309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926*2019*8370*A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20054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926*2019*8420*A</v>
      </c>
      <c r="B787" s="276"/>
      <c r="C787" s="278">
        <f>ROUND(BD60,2)</f>
        <v>0.54</v>
      </c>
      <c r="D787" s="276">
        <f>ROUND(BD61,0)</f>
        <v>37664</v>
      </c>
      <c r="E787" s="276">
        <f>ROUND(BD62,0)</f>
        <v>7508</v>
      </c>
      <c r="F787" s="276">
        <f>ROUND(BD63,0)</f>
        <v>0</v>
      </c>
      <c r="G787" s="276">
        <f>ROUND(BD64,0)</f>
        <v>36162</v>
      </c>
      <c r="H787" s="276">
        <f>ROUND(BD65,0)</f>
        <v>0</v>
      </c>
      <c r="I787" s="276">
        <f>ROUND(BD66,0)</f>
        <v>290</v>
      </c>
      <c r="J787" s="276">
        <f>ROUND(BD67,0)</f>
        <v>9795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289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926*2019*8430*A</v>
      </c>
      <c r="B788" s="276">
        <f>ROUND(BE59,0)</f>
        <v>68235</v>
      </c>
      <c r="C788" s="278">
        <f>ROUND(BE60,2)</f>
        <v>2.02</v>
      </c>
      <c r="D788" s="276">
        <f>ROUND(BE61,0)</f>
        <v>150547</v>
      </c>
      <c r="E788" s="276">
        <f>ROUND(BE62,0)</f>
        <v>30009</v>
      </c>
      <c r="F788" s="276">
        <f>ROUND(BE63,0)</f>
        <v>0</v>
      </c>
      <c r="G788" s="276">
        <f>ROUND(BE64,0)</f>
        <v>11100</v>
      </c>
      <c r="H788" s="276">
        <f>ROUND(BE65,0)</f>
        <v>138720</v>
      </c>
      <c r="I788" s="276">
        <f>ROUND(BE66,0)</f>
        <v>47126</v>
      </c>
      <c r="J788" s="276">
        <f>ROUND(BE67,0)</f>
        <v>720308</v>
      </c>
      <c r="K788" s="276">
        <f>ROUND(BE68,0)</f>
        <v>0</v>
      </c>
      <c r="L788" s="276">
        <f>ROUND(BE69,0)</f>
        <v>110911</v>
      </c>
      <c r="M788" s="276">
        <f>ROUND(BE70,0)</f>
        <v>0</v>
      </c>
      <c r="N788" s="276"/>
      <c r="O788" s="276"/>
      <c r="P788" s="276">
        <f>IF(BE76&gt;0,ROUND(BE76,0),0)</f>
        <v>21252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926*2019*8460*A</v>
      </c>
      <c r="B789" s="276"/>
      <c r="C789" s="278">
        <f>ROUND(BF60,2)</f>
        <v>3.32</v>
      </c>
      <c r="D789" s="276">
        <f>ROUND(BF61,0)</f>
        <v>118468</v>
      </c>
      <c r="E789" s="276">
        <f>ROUND(BF62,0)</f>
        <v>23614</v>
      </c>
      <c r="F789" s="276">
        <f>ROUND(BF63,0)</f>
        <v>0</v>
      </c>
      <c r="G789" s="276">
        <f>ROUND(BF64,0)</f>
        <v>24047</v>
      </c>
      <c r="H789" s="276">
        <f>ROUND(BF65,0)</f>
        <v>0</v>
      </c>
      <c r="I789" s="276">
        <f>ROUND(BF66,0)</f>
        <v>7402</v>
      </c>
      <c r="J789" s="276">
        <f>ROUND(BF67,0)</f>
        <v>43282</v>
      </c>
      <c r="K789" s="276">
        <f>ROUND(BF68,0)</f>
        <v>0</v>
      </c>
      <c r="L789" s="276">
        <f>ROUND(BF69,0)</f>
        <v>9</v>
      </c>
      <c r="M789" s="276">
        <f>ROUND(BF70,0)</f>
        <v>0</v>
      </c>
      <c r="N789" s="276"/>
      <c r="O789" s="276"/>
      <c r="P789" s="276">
        <f>IF(BF76&gt;0,ROUND(BF76,0),0)</f>
        <v>1277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926*2019*8470*A</v>
      </c>
      <c r="B790" s="276"/>
      <c r="C790" s="278">
        <f>ROUND(BG60,2)</f>
        <v>2.88</v>
      </c>
      <c r="D790" s="276">
        <f>ROUND(BG61,0)</f>
        <v>105910</v>
      </c>
      <c r="E790" s="276">
        <f>ROUND(BG62,0)</f>
        <v>21111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7762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229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926*2019*8480*A</v>
      </c>
      <c r="B791" s="276"/>
      <c r="C791" s="278">
        <f>ROUND(BH60,2)</f>
        <v>0.54</v>
      </c>
      <c r="D791" s="276">
        <f>ROUND(BH61,0)</f>
        <v>37663</v>
      </c>
      <c r="E791" s="276">
        <f>ROUND(BH62,0)</f>
        <v>7507</v>
      </c>
      <c r="F791" s="276">
        <f>ROUND(BH63,0)</f>
        <v>0</v>
      </c>
      <c r="G791" s="276">
        <f>ROUND(BH64,0)</f>
        <v>5065</v>
      </c>
      <c r="H791" s="276">
        <f>ROUND(BH65,0)</f>
        <v>0</v>
      </c>
      <c r="I791" s="276">
        <f>ROUND(BH66,0)</f>
        <v>8650</v>
      </c>
      <c r="J791" s="276">
        <f>ROUND(BH67,0)</f>
        <v>9727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287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926*2019*8490*A</v>
      </c>
      <c r="B792" s="276"/>
      <c r="C792" s="278">
        <f>ROUND(BI60,2)</f>
        <v>1.61</v>
      </c>
      <c r="D792" s="276">
        <f>ROUND(BI61,0)</f>
        <v>59226</v>
      </c>
      <c r="E792" s="276">
        <f>ROUND(BI62,0)</f>
        <v>11806</v>
      </c>
      <c r="F792" s="276">
        <f>ROUND(BI63,0)</f>
        <v>0</v>
      </c>
      <c r="G792" s="276">
        <f>ROUND(BI64,0)</f>
        <v>1071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926*2019*8510*A</v>
      </c>
      <c r="B793" s="276"/>
      <c r="C793" s="278">
        <f>ROUND(BJ60,2)</f>
        <v>2.3199999999999998</v>
      </c>
      <c r="D793" s="276">
        <f>ROUND(BJ61,0)</f>
        <v>211035</v>
      </c>
      <c r="E793" s="276">
        <f>ROUND(BJ62,0)</f>
        <v>42066</v>
      </c>
      <c r="F793" s="276">
        <f>ROUND(BJ63,0)</f>
        <v>0</v>
      </c>
      <c r="G793" s="276">
        <f>ROUND(BJ64,0)</f>
        <v>703</v>
      </c>
      <c r="H793" s="276">
        <f>ROUND(BJ65,0)</f>
        <v>0</v>
      </c>
      <c r="I793" s="276">
        <f>ROUND(BJ66,0)</f>
        <v>0</v>
      </c>
      <c r="J793" s="276">
        <f>ROUND(BJ67,0)</f>
        <v>8134</v>
      </c>
      <c r="K793" s="276">
        <f>ROUND(BJ68,0)</f>
        <v>0</v>
      </c>
      <c r="L793" s="276">
        <f>ROUND(BJ69,0)</f>
        <v>3845</v>
      </c>
      <c r="M793" s="276">
        <f>ROUND(BJ70,0)</f>
        <v>0</v>
      </c>
      <c r="N793" s="276"/>
      <c r="O793" s="276"/>
      <c r="P793" s="276">
        <f>IF(BJ76&gt;0,ROUND(BJ76,0),0)</f>
        <v>240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926*2019*8530*A</v>
      </c>
      <c r="B794" s="276"/>
      <c r="C794" s="278">
        <f>ROUND(BK60,2)</f>
        <v>3.8</v>
      </c>
      <c r="D794" s="276">
        <f>ROUND(BK61,0)</f>
        <v>192669</v>
      </c>
      <c r="E794" s="276">
        <f>ROUND(BK62,0)</f>
        <v>38405</v>
      </c>
      <c r="F794" s="276">
        <f>ROUND(BK63,0)</f>
        <v>0</v>
      </c>
      <c r="G794" s="276">
        <f>ROUND(BK64,0)</f>
        <v>64</v>
      </c>
      <c r="H794" s="276">
        <f>ROUND(BK65,0)</f>
        <v>0</v>
      </c>
      <c r="I794" s="276">
        <f>ROUND(BK66,0)</f>
        <v>36109</v>
      </c>
      <c r="J794" s="276">
        <f>ROUND(BK67,0)</f>
        <v>8440</v>
      </c>
      <c r="K794" s="276">
        <f>ROUND(BK68,0)</f>
        <v>0</v>
      </c>
      <c r="L794" s="276">
        <f>ROUND(BK69,0)</f>
        <v>31060</v>
      </c>
      <c r="M794" s="276">
        <f>ROUND(BK70,0)</f>
        <v>0</v>
      </c>
      <c r="N794" s="276"/>
      <c r="O794" s="276"/>
      <c r="P794" s="276">
        <f>IF(BK76&gt;0,ROUND(BK76,0),0)</f>
        <v>249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926*2019*8560*A</v>
      </c>
      <c r="B795" s="276"/>
      <c r="C795" s="278">
        <f>ROUND(BL60,2)</f>
        <v>9.14</v>
      </c>
      <c r="D795" s="276">
        <f>ROUND(BL61,0)</f>
        <v>655588</v>
      </c>
      <c r="E795" s="276">
        <f>ROUND(BL62,0)</f>
        <v>130678</v>
      </c>
      <c r="F795" s="276">
        <f>ROUND(BL63,0)</f>
        <v>0</v>
      </c>
      <c r="G795" s="276">
        <f>ROUND(BL64,0)</f>
        <v>944</v>
      </c>
      <c r="H795" s="276">
        <f>ROUND(BL65,0)</f>
        <v>0</v>
      </c>
      <c r="I795" s="276">
        <f>ROUND(BL66,0)</f>
        <v>0</v>
      </c>
      <c r="J795" s="276">
        <f>ROUND(BL67,0)</f>
        <v>46265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1365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926*2019*8590*A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926*2019*8610*A</v>
      </c>
      <c r="B797" s="276"/>
      <c r="C797" s="278">
        <f>ROUND(BN60,2)</f>
        <v>1.94</v>
      </c>
      <c r="D797" s="276">
        <f>ROUND(BN61,0)</f>
        <v>306159</v>
      </c>
      <c r="E797" s="276">
        <f>ROUND(BN62,0)</f>
        <v>61027</v>
      </c>
      <c r="F797" s="276">
        <f>ROUND(BN63,0)</f>
        <v>0</v>
      </c>
      <c r="G797" s="276">
        <f>ROUND(BN64,0)</f>
        <v>2600</v>
      </c>
      <c r="H797" s="276">
        <f>ROUND(BN65,0)</f>
        <v>0</v>
      </c>
      <c r="I797" s="276">
        <f>ROUND(BN66,0)</f>
        <v>15323</v>
      </c>
      <c r="J797" s="276">
        <f>ROUND(BN67,0)</f>
        <v>214750</v>
      </c>
      <c r="K797" s="276">
        <f>ROUND(BN68,0)</f>
        <v>1078</v>
      </c>
      <c r="L797" s="276">
        <f>ROUND(BN69,0)</f>
        <v>903066</v>
      </c>
      <c r="M797" s="276">
        <f>ROUND(BN70,0)</f>
        <v>0</v>
      </c>
      <c r="N797" s="276"/>
      <c r="O797" s="276"/>
      <c r="P797" s="276">
        <f>IF(BN76&gt;0,ROUND(BN76,0),0)</f>
        <v>6336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926*2019*8620*A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926*2019*8630*A</v>
      </c>
      <c r="B799" s="276"/>
      <c r="C799" s="278">
        <f>ROUND(BP60,2)</f>
        <v>2.2400000000000002</v>
      </c>
      <c r="D799" s="276">
        <f>ROUND(BP61,0)</f>
        <v>176295</v>
      </c>
      <c r="E799" s="276">
        <f>ROUND(BP62,0)</f>
        <v>35141</v>
      </c>
      <c r="F799" s="276">
        <f>ROUND(BP63,0)</f>
        <v>0</v>
      </c>
      <c r="G799" s="276">
        <f>ROUND(BP64,0)</f>
        <v>1371</v>
      </c>
      <c r="H799" s="276">
        <f>ROUND(BP65,0)</f>
        <v>0</v>
      </c>
      <c r="I799" s="276">
        <f>ROUND(BP66,0)</f>
        <v>169</v>
      </c>
      <c r="J799" s="276">
        <f>ROUND(BP67,0)</f>
        <v>3864</v>
      </c>
      <c r="K799" s="276">
        <f>ROUND(BP68,0)</f>
        <v>0</v>
      </c>
      <c r="L799" s="276">
        <f>ROUND(BP69,0)</f>
        <v>37163</v>
      </c>
      <c r="M799" s="276">
        <f>ROUND(BP70,0)</f>
        <v>0</v>
      </c>
      <c r="N799" s="276"/>
      <c r="O799" s="276"/>
      <c r="P799" s="276">
        <f>IF(BP76&gt;0,ROUND(BP76,0),0)</f>
        <v>114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926*2019*8640*A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926*2019*8650*A</v>
      </c>
      <c r="B801" s="276"/>
      <c r="C801" s="278">
        <f>ROUND(BR60,2)</f>
        <v>2.0699999999999998</v>
      </c>
      <c r="D801" s="276">
        <f>ROUND(BR61,0)</f>
        <v>141054</v>
      </c>
      <c r="E801" s="276">
        <f>ROUND(BR62,0)</f>
        <v>28116</v>
      </c>
      <c r="F801" s="276">
        <f>ROUND(BR63,0)</f>
        <v>0</v>
      </c>
      <c r="G801" s="276">
        <f>ROUND(BR64,0)</f>
        <v>1251</v>
      </c>
      <c r="H801" s="276">
        <f>ROUND(BR65,0)</f>
        <v>0</v>
      </c>
      <c r="I801" s="276">
        <f>ROUND(BR66,0)</f>
        <v>0</v>
      </c>
      <c r="J801" s="276">
        <f>ROUND(BR67,0)</f>
        <v>6575</v>
      </c>
      <c r="K801" s="276">
        <f>ROUND(BR68,0)</f>
        <v>0</v>
      </c>
      <c r="L801" s="276">
        <f>ROUND(BR69,0)</f>
        <v>40745</v>
      </c>
      <c r="M801" s="276">
        <f>ROUND(BR70,0)</f>
        <v>0</v>
      </c>
      <c r="N801" s="276"/>
      <c r="O801" s="276"/>
      <c r="P801" s="276">
        <f>IF(BR76&gt;0,ROUND(BR76,0),0)</f>
        <v>194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926*2019*8660*A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926*2019*8670*A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926*2019*8680*A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926*2019*8690*A</v>
      </c>
      <c r="B805" s="276"/>
      <c r="C805" s="278">
        <f>ROUND(BV60,2)</f>
        <v>1.88</v>
      </c>
      <c r="D805" s="276">
        <f>ROUND(BV61,0)</f>
        <v>106468</v>
      </c>
      <c r="E805" s="276">
        <f>ROUND(BV62,0)</f>
        <v>21222</v>
      </c>
      <c r="F805" s="276">
        <f>ROUND(BV63,0)</f>
        <v>0</v>
      </c>
      <c r="G805" s="276">
        <f>ROUND(BV64,0)</f>
        <v>11929</v>
      </c>
      <c r="H805" s="276">
        <f>ROUND(BV65,0)</f>
        <v>0</v>
      </c>
      <c r="I805" s="276">
        <f>ROUND(BV66,0)</f>
        <v>0</v>
      </c>
      <c r="J805" s="276">
        <f>ROUND(BV67,0)</f>
        <v>14642</v>
      </c>
      <c r="K805" s="276">
        <f>ROUND(BV68,0)</f>
        <v>0</v>
      </c>
      <c r="L805" s="276">
        <f>ROUND(BV69,0)</f>
        <v>10948</v>
      </c>
      <c r="M805" s="276">
        <f>ROUND(BV70,0)</f>
        <v>0</v>
      </c>
      <c r="N805" s="276"/>
      <c r="O805" s="276"/>
      <c r="P805" s="276">
        <f>IF(BV76&gt;0,ROUND(BV76,0),0)</f>
        <v>432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926*2019*8700*A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1986416</v>
      </c>
      <c r="G806" s="276">
        <f>ROUND(BW64,0)</f>
        <v>360</v>
      </c>
      <c r="H806" s="276">
        <f>ROUND(BW65,0)</f>
        <v>0</v>
      </c>
      <c r="I806" s="276">
        <f>ROUND(BW66,0)</f>
        <v>4727</v>
      </c>
      <c r="J806" s="276">
        <f>ROUND(BW67,0)</f>
        <v>39961</v>
      </c>
      <c r="K806" s="276">
        <f>ROUND(BW68,0)</f>
        <v>0</v>
      </c>
      <c r="L806" s="276">
        <f>ROUND(BW69,0)</f>
        <v>13274</v>
      </c>
      <c r="M806" s="276">
        <f>ROUND(BW70,0)</f>
        <v>0</v>
      </c>
      <c r="N806" s="276"/>
      <c r="O806" s="276"/>
      <c r="P806" s="276">
        <f>IF(BW76&gt;0,ROUND(BW76,0),0)</f>
        <v>1179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926*2019*8710*A</v>
      </c>
      <c r="B807" s="276"/>
      <c r="C807" s="278">
        <f>ROUND(BX60,2)</f>
        <v>2.0699999999999998</v>
      </c>
      <c r="D807" s="276">
        <f>ROUND(BX61,0)</f>
        <v>158282</v>
      </c>
      <c r="E807" s="276">
        <f>ROUND(BX62,0)</f>
        <v>31550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11253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332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926*2019*8720*A</v>
      </c>
      <c r="B808" s="276"/>
      <c r="C808" s="278">
        <f>ROUND(BY60,2)</f>
        <v>8.44</v>
      </c>
      <c r="D808" s="276">
        <f>ROUND(BY61,0)</f>
        <v>827939</v>
      </c>
      <c r="E808" s="276">
        <f>ROUND(BY62,0)</f>
        <v>165033</v>
      </c>
      <c r="F808" s="276">
        <f>ROUND(BY63,0)</f>
        <v>0</v>
      </c>
      <c r="G808" s="276">
        <f>ROUND(BY64,0)</f>
        <v>0</v>
      </c>
      <c r="H808" s="276">
        <f>ROUND(BY65,0)</f>
        <v>0</v>
      </c>
      <c r="I808" s="276">
        <f>ROUND(BY66,0)</f>
        <v>0</v>
      </c>
      <c r="J808" s="276">
        <f>ROUND(BY67,0)</f>
        <v>16235</v>
      </c>
      <c r="K808" s="276">
        <f>ROUND(BY68,0)</f>
        <v>0</v>
      </c>
      <c r="L808" s="276">
        <f>ROUND(BY69,0)</f>
        <v>0</v>
      </c>
      <c r="M808" s="276">
        <f>ROUND(BY70,0)</f>
        <v>0</v>
      </c>
      <c r="N808" s="276"/>
      <c r="O808" s="276"/>
      <c r="P808" s="276">
        <f>IF(BY76&gt;0,ROUND(BY76,0),0)</f>
        <v>479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926*2019*8730*A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926*2019*8740*A</v>
      </c>
      <c r="B810" s="276"/>
      <c r="C810" s="278">
        <f>ROUND(CA60,2)</f>
        <v>4.3600000000000003</v>
      </c>
      <c r="D810" s="276">
        <f>ROUND(CA61,0)</f>
        <v>265712</v>
      </c>
      <c r="E810" s="276">
        <f>ROUND(CA62,0)</f>
        <v>52964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926*2019*8770*A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926*2019*8790*A</v>
      </c>
      <c r="B812" s="276"/>
      <c r="C812" s="278">
        <f>ROUND(CC60,2)</f>
        <v>1.04</v>
      </c>
      <c r="D812" s="276">
        <f>ROUND(CC61,0)</f>
        <v>99305</v>
      </c>
      <c r="E812" s="276">
        <f>ROUND(CC62,0)</f>
        <v>19794</v>
      </c>
      <c r="F812" s="276">
        <f>ROUND(CC63,0)</f>
        <v>0</v>
      </c>
      <c r="G812" s="276">
        <f>ROUND(CC64,0)</f>
        <v>521</v>
      </c>
      <c r="H812" s="276">
        <f>ROUND(CC65,0)</f>
        <v>0</v>
      </c>
      <c r="I812" s="276">
        <f>ROUND(CC66,0)</f>
        <v>0</v>
      </c>
      <c r="J812" s="276">
        <f>ROUND(CC67,0)</f>
        <v>3322</v>
      </c>
      <c r="K812" s="276">
        <f>ROUND(CC68,0)</f>
        <v>0</v>
      </c>
      <c r="L812" s="276">
        <f>ROUND(CC69,0)</f>
        <v>3793</v>
      </c>
      <c r="M812" s="276">
        <f>ROUND(CC70,0)</f>
        <v>0</v>
      </c>
      <c r="N812" s="276"/>
      <c r="O812" s="276"/>
      <c r="P812" s="276">
        <f>IF(CC76&gt;0,ROUND(CC76,0),0)</f>
        <v>98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926*2019*9000*A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111.03999999999998</v>
      </c>
      <c r="D815" s="277">
        <f t="shared" si="22"/>
        <v>7521607</v>
      </c>
      <c r="E815" s="277">
        <f t="shared" si="22"/>
        <v>1499282</v>
      </c>
      <c r="F815" s="277">
        <f t="shared" si="22"/>
        <v>1986416</v>
      </c>
      <c r="G815" s="277">
        <f t="shared" si="22"/>
        <v>486541</v>
      </c>
      <c r="H815" s="277">
        <f t="shared" si="22"/>
        <v>138720</v>
      </c>
      <c r="I815" s="277">
        <f t="shared" si="22"/>
        <v>525375</v>
      </c>
      <c r="J815" s="277">
        <f t="shared" si="22"/>
        <v>2312734</v>
      </c>
      <c r="K815" s="277">
        <f t="shared" si="22"/>
        <v>1654</v>
      </c>
      <c r="L815" s="277">
        <f>SUM(L734:L813)+SUM(U734:U813)</f>
        <v>1162624</v>
      </c>
      <c r="M815" s="277">
        <f>SUM(M734:M813)+SUM(V734:V813)</f>
        <v>0</v>
      </c>
      <c r="N815" s="277">
        <f t="shared" ref="N815:Y815" si="23">SUM(N734:N813)</f>
        <v>27714895</v>
      </c>
      <c r="O815" s="277">
        <f t="shared" si="23"/>
        <v>27561295</v>
      </c>
      <c r="P815" s="277">
        <f t="shared" si="23"/>
        <v>68235</v>
      </c>
      <c r="Q815" s="277">
        <f t="shared" si="23"/>
        <v>41586</v>
      </c>
      <c r="R815" s="277">
        <f t="shared" si="23"/>
        <v>6278</v>
      </c>
      <c r="S815" s="277">
        <f t="shared" si="23"/>
        <v>51456</v>
      </c>
      <c r="T815" s="281">
        <f t="shared" si="23"/>
        <v>41.23</v>
      </c>
      <c r="U815" s="277">
        <f t="shared" si="23"/>
        <v>0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10275917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111.02999999999996</v>
      </c>
      <c r="D816" s="277">
        <f>CE61</f>
        <v>7521607</v>
      </c>
      <c r="E816" s="277">
        <f>CE62</f>
        <v>1499282</v>
      </c>
      <c r="F816" s="277">
        <f>CE63</f>
        <v>1986416</v>
      </c>
      <c r="G816" s="277">
        <f>CE64</f>
        <v>486541</v>
      </c>
      <c r="H816" s="280">
        <f>CE65</f>
        <v>138720</v>
      </c>
      <c r="I816" s="280">
        <f>CE66</f>
        <v>525375</v>
      </c>
      <c r="J816" s="280">
        <f>CE67</f>
        <v>2312734</v>
      </c>
      <c r="K816" s="280">
        <f>CE68</f>
        <v>1654</v>
      </c>
      <c r="L816" s="280">
        <f>CE69</f>
        <v>1162624</v>
      </c>
      <c r="M816" s="280">
        <f>CE70</f>
        <v>0</v>
      </c>
      <c r="N816" s="277">
        <f>CE75</f>
        <v>27714895</v>
      </c>
      <c r="O816" s="277">
        <f>CE73</f>
        <v>27561295</v>
      </c>
      <c r="P816" s="277">
        <f>CE76</f>
        <v>68235</v>
      </c>
      <c r="Q816" s="277">
        <f>CE77</f>
        <v>41586</v>
      </c>
      <c r="R816" s="277">
        <f>CE78</f>
        <v>6277.8181818181811</v>
      </c>
      <c r="S816" s="277">
        <f>CE79</f>
        <v>51456</v>
      </c>
      <c r="T816" s="281">
        <f>CE80</f>
        <v>41.23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10275917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7521606</v>
      </c>
      <c r="E817" s="180">
        <f>C379</f>
        <v>1499283</v>
      </c>
      <c r="F817" s="180">
        <f>C380</f>
        <v>1986416</v>
      </c>
      <c r="G817" s="240">
        <f>C381</f>
        <v>486539</v>
      </c>
      <c r="H817" s="240">
        <f>C382</f>
        <v>138720</v>
      </c>
      <c r="I817" s="240">
        <f>C383</f>
        <v>386625</v>
      </c>
      <c r="J817" s="240">
        <f>C384</f>
        <v>2312733</v>
      </c>
      <c r="K817" s="240">
        <f>C385</f>
        <v>1654</v>
      </c>
      <c r="L817" s="240">
        <f>C386+C387+C388+C389</f>
        <v>1301378</v>
      </c>
      <c r="M817" s="240">
        <f>C370</f>
        <v>11657</v>
      </c>
      <c r="N817" s="180">
        <f>D361</f>
        <v>27714895</v>
      </c>
      <c r="O817" s="180">
        <f>C359</f>
        <v>27561295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Inland Northwest Behavioral Health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H-926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104 W 5th Ave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104 W 5th Ave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Spokane, WA 99204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abSelected="1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H-926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Inland Northwest Behavioral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Dorothy Sawyer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Troy Cherry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Ron Escarda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509-992-1888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509-293-6517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2027</v>
      </c>
      <c r="G23" s="21">
        <f>data!D111</f>
        <v>23162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100</v>
      </c>
      <c r="E36" s="49" t="s">
        <v>292</v>
      </c>
      <c r="F36" s="24"/>
      <c r="G36" s="21">
        <f>data!C128</f>
        <v>100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3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Inland Northwest Behavioral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272</v>
      </c>
      <c r="C7" s="48">
        <f>data!B139</f>
        <v>4752</v>
      </c>
      <c r="D7" s="48">
        <f>data!B140</f>
        <v>413</v>
      </c>
      <c r="E7" s="48">
        <f>data!B141</f>
        <v>4220998</v>
      </c>
      <c r="F7" s="48">
        <f>data!B142</f>
        <v>96222</v>
      </c>
      <c r="G7" s="48">
        <f>data!B141+data!B142</f>
        <v>4317220</v>
      </c>
    </row>
    <row r="8" spans="1:13" ht="20.149999999999999" customHeight="1" x14ac:dyDescent="0.35">
      <c r="A8" s="23" t="s">
        <v>297</v>
      </c>
      <c r="B8" s="48">
        <f>data!C138</f>
        <v>92</v>
      </c>
      <c r="C8" s="48">
        <f>data!C139</f>
        <v>907</v>
      </c>
      <c r="D8" s="48">
        <f>data!C140</f>
        <v>0</v>
      </c>
      <c r="E8" s="48">
        <f>data!C141</f>
        <v>582106</v>
      </c>
      <c r="F8" s="48">
        <f>data!C142</f>
        <v>0</v>
      </c>
      <c r="G8" s="48">
        <f>data!C141+data!C142</f>
        <v>582106</v>
      </c>
    </row>
    <row r="9" spans="1:13" ht="20.149999999999999" customHeight="1" x14ac:dyDescent="0.35">
      <c r="A9" s="23" t="s">
        <v>1058</v>
      </c>
      <c r="B9" s="48">
        <f>data!D138</f>
        <v>1663</v>
      </c>
      <c r="C9" s="48">
        <f>data!D139</f>
        <v>17503</v>
      </c>
      <c r="D9" s="48">
        <f>data!D140</f>
        <v>1923</v>
      </c>
      <c r="E9" s="48">
        <f>data!D141</f>
        <v>18865106</v>
      </c>
      <c r="F9" s="48">
        <f>data!D142</f>
        <v>674268</v>
      </c>
      <c r="G9" s="48">
        <f>data!D141+data!D142</f>
        <v>19539374</v>
      </c>
    </row>
    <row r="10" spans="1:13" ht="20.149999999999999" customHeight="1" x14ac:dyDescent="0.35">
      <c r="A10" s="111" t="s">
        <v>203</v>
      </c>
      <c r="B10" s="48">
        <f>data!E138</f>
        <v>2027</v>
      </c>
      <c r="C10" s="48">
        <f>data!E139</f>
        <v>23162</v>
      </c>
      <c r="D10" s="48">
        <f>data!E140</f>
        <v>2336</v>
      </c>
      <c r="E10" s="48">
        <f>data!E141</f>
        <v>23668210</v>
      </c>
      <c r="F10" s="48">
        <f>data!E142</f>
        <v>770490</v>
      </c>
      <c r="G10" s="48">
        <f>data!E141+data!E142</f>
        <v>24438700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Inland Northwest Behavioral Health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868440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59050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412304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323719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36265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142897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378131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2220806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2168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2168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71906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40954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112860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45867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670330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716197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7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Inland Northwest Behavioral Health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4759217</v>
      </c>
      <c r="D7" s="21">
        <f>data!C195</f>
        <v>0</v>
      </c>
      <c r="E7" s="21">
        <f>data!D195</f>
        <v>0</v>
      </c>
      <c r="F7" s="21">
        <f>data!E195</f>
        <v>4759217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1099025</v>
      </c>
      <c r="D8" s="21">
        <f>data!C196</f>
        <v>55011</v>
      </c>
      <c r="E8" s="21">
        <f>data!D196</f>
        <v>0</v>
      </c>
      <c r="F8" s="21">
        <f>data!E196</f>
        <v>1154036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32290938</v>
      </c>
      <c r="D9" s="21">
        <f>data!C197</f>
        <v>243461</v>
      </c>
      <c r="E9" s="21">
        <f>data!D197</f>
        <v>0</v>
      </c>
      <c r="F9" s="21">
        <f>data!E197</f>
        <v>32534399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2048380</v>
      </c>
      <c r="D10" s="21">
        <f>data!C198</f>
        <v>4284</v>
      </c>
      <c r="E10" s="21">
        <f>data!D198</f>
        <v>0</v>
      </c>
      <c r="F10" s="21">
        <f>data!E198</f>
        <v>2052664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1617467</v>
      </c>
      <c r="D12" s="21">
        <f>data!C200</f>
        <v>566716</v>
      </c>
      <c r="E12" s="21">
        <f>data!D200</f>
        <v>4787</v>
      </c>
      <c r="F12" s="21">
        <f>data!E200</f>
        <v>2179396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-7181</v>
      </c>
      <c r="D15" s="21">
        <f>data!C203</f>
        <v>7181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41807846</v>
      </c>
      <c r="D16" s="21">
        <f>data!C204</f>
        <v>876653</v>
      </c>
      <c r="E16" s="21">
        <f>data!D204</f>
        <v>4787</v>
      </c>
      <c r="F16" s="21">
        <f>data!E204</f>
        <v>42679712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91585.46</v>
      </c>
      <c r="D24" s="21">
        <f>data!C209</f>
        <v>81520</v>
      </c>
      <c r="E24" s="21">
        <f>data!D209</f>
        <v>0</v>
      </c>
      <c r="F24" s="21">
        <f>data!E209</f>
        <v>173105.46000000002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1636498.71</v>
      </c>
      <c r="D25" s="21">
        <f>data!C210</f>
        <v>1333989</v>
      </c>
      <c r="E25" s="21">
        <f>data!D210</f>
        <v>0</v>
      </c>
      <c r="F25" s="21">
        <f>data!E210</f>
        <v>2970487.71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490100.17</v>
      </c>
      <c r="D26" s="21">
        <f>data!C211</f>
        <v>393548</v>
      </c>
      <c r="E26" s="21">
        <f>data!D211</f>
        <v>0</v>
      </c>
      <c r="F26" s="21">
        <f>data!E211</f>
        <v>883648.16999999993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447524.61</v>
      </c>
      <c r="D28" s="21">
        <f>data!C213</f>
        <v>517798</v>
      </c>
      <c r="E28" s="21">
        <f>data!D213</f>
        <v>1277</v>
      </c>
      <c r="F28" s="21">
        <f>data!E213</f>
        <v>964045.61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2665708.9499999997</v>
      </c>
      <c r="D32" s="21">
        <f>data!C217</f>
        <v>2326855</v>
      </c>
      <c r="E32" s="21">
        <f>data!D217</f>
        <v>1277</v>
      </c>
      <c r="F32" s="21">
        <f>data!E217</f>
        <v>4991286.95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Inland Northwest Behavioral Health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774221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4485580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1050494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11687958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2119652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3320029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22663713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228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448265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38277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486542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117209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24041685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Inland Northwest Behavioral Health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-164329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8416986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3638614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120521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56399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4790963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4759217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1154036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32534399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2052664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2179396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42679712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4991286.95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37688425.049999997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12356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12356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42491744.049999997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Inland Northwest Behavioral Health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5000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1659375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311320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1975695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131806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131806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131806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44181881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-3797638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40384243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42491744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Inland Northwest Behavioral Health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46294164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1412000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47706164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774221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22663713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486542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117209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24041685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23664479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163749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163749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23828228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10330847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2220806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3502624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788919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239013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840458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2357261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2168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112860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716197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1081581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22192734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1635494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1635494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1635494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Inland Northwest Behavioral Health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23162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66.53879310344827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4406441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947246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70525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66625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936547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1266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6428650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14114485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23668210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770490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24438700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27110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69486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8993.5910832462559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77361.08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66.53879310344827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Inland Northwest Behavioral Health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Inland Northwest Behavioral Health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50580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2246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52826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9049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65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Inland Northwest Behavioral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2.4209770114942528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298042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64070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254575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93412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26048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736147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171391</v>
      </c>
      <c r="H119" s="48">
        <f>+data!M694</f>
        <v>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754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Inland Northwest Behavioral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Inland Northwest Behavioral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3.4961685823754789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178227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38313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11459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898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228897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46141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26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Inland Northwest Behavioral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69486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4.2614942528735629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6.1700191570881229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272033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281132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58479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60435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8910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269808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92549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339422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704227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62261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Inland Northwest Behavioral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68235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10.830938697318006</v>
      </c>
      <c r="F234" s="26">
        <f>data!BC60</f>
        <v>0</v>
      </c>
      <c r="G234" s="26">
        <f>data!BD60</f>
        <v>0.54837164750958001</v>
      </c>
      <c r="H234" s="26">
        <f>data!BE60</f>
        <v>1.9305555555555554</v>
      </c>
      <c r="I234" s="26">
        <f>data!BF60</f>
        <v>4.7562260536398471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678012</v>
      </c>
      <c r="F235" s="14">
        <f>data!BC61</f>
        <v>0</v>
      </c>
      <c r="G235" s="14">
        <f>data!BD61</f>
        <v>41108.5</v>
      </c>
      <c r="H235" s="14">
        <f>data!BE61</f>
        <v>111347</v>
      </c>
      <c r="I235" s="14">
        <f>data!BF61</f>
        <v>184036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145751</v>
      </c>
      <c r="F236" s="14">
        <f>data!BC62</f>
        <v>0</v>
      </c>
      <c r="G236" s="14">
        <f>data!BD62</f>
        <v>8837</v>
      </c>
      <c r="H236" s="14">
        <f>data!BE62</f>
        <v>23936</v>
      </c>
      <c r="I236" s="14">
        <f>data!BF62</f>
        <v>39562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4579</v>
      </c>
      <c r="F238" s="14">
        <f>data!BC64</f>
        <v>0</v>
      </c>
      <c r="G238" s="14">
        <f>data!BD64</f>
        <v>33740</v>
      </c>
      <c r="H238" s="14">
        <f>data!BE64</f>
        <v>10776</v>
      </c>
      <c r="I238" s="14">
        <f>data!BF64</f>
        <v>38674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158234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64344</v>
      </c>
      <c r="E240" s="14">
        <f>data!BB66</f>
        <v>0</v>
      </c>
      <c r="F240" s="14">
        <f>data!BC66</f>
        <v>30478</v>
      </c>
      <c r="G240" s="14">
        <f>data!BD66</f>
        <v>0</v>
      </c>
      <c r="H240" s="14">
        <f>data!BE66</f>
        <v>169664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67020</v>
      </c>
      <c r="D241" s="14">
        <f>data!BA67</f>
        <v>0</v>
      </c>
      <c r="E241" s="14">
        <f>data!BB67</f>
        <v>45221</v>
      </c>
      <c r="F241" s="14">
        <f>data!BC67</f>
        <v>0</v>
      </c>
      <c r="G241" s="14">
        <f>data!BD67</f>
        <v>9984</v>
      </c>
      <c r="H241" s="14">
        <f>data!BE67</f>
        <v>734176</v>
      </c>
      <c r="I241" s="14">
        <f>data!BF67</f>
        <v>44115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3318</v>
      </c>
      <c r="H243" s="14">
        <f>data!BE69</f>
        <v>170230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67020</v>
      </c>
      <c r="D245" s="14">
        <f>data!BA71</f>
        <v>64344</v>
      </c>
      <c r="E245" s="14">
        <f>data!BB71</f>
        <v>873563</v>
      </c>
      <c r="F245" s="14">
        <f>data!BC71</f>
        <v>30478</v>
      </c>
      <c r="G245" s="14">
        <f>data!BD71</f>
        <v>96987.5</v>
      </c>
      <c r="H245" s="14">
        <f>data!BE71</f>
        <v>1378363</v>
      </c>
      <c r="I245" s="14">
        <f>data!BF71</f>
        <v>306387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1940</v>
      </c>
      <c r="D252" s="85">
        <f>data!BA76</f>
        <v>0</v>
      </c>
      <c r="E252" s="85">
        <f>data!BB76</f>
        <v>1309</v>
      </c>
      <c r="F252" s="85">
        <f>data!BC76</f>
        <v>0</v>
      </c>
      <c r="G252" s="85">
        <f>data!BD76</f>
        <v>289</v>
      </c>
      <c r="H252" s="85">
        <f>data!BE76</f>
        <v>21252</v>
      </c>
      <c r="I252" s="85">
        <f>data!BF76</f>
        <v>1277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Inland Northwest Behavioral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5.6408045977011501</v>
      </c>
      <c r="D266" s="26">
        <f>data!BH60</f>
        <v>0.766762452107281</v>
      </c>
      <c r="E266" s="26">
        <f>data!BI60</f>
        <v>2.522509578544061</v>
      </c>
      <c r="F266" s="26">
        <f>data!BJ60</f>
        <v>2.7782567049808429</v>
      </c>
      <c r="G266" s="26">
        <f>data!BK60</f>
        <v>4.9386973180076632</v>
      </c>
      <c r="H266" s="26">
        <f>data!BL60</f>
        <v>10.208812260536398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248181</v>
      </c>
      <c r="D267" s="14">
        <f>data!BH61</f>
        <v>57091.5</v>
      </c>
      <c r="E267" s="14">
        <f>data!BI61</f>
        <v>10809</v>
      </c>
      <c r="F267" s="14">
        <f>data!BJ61</f>
        <v>243072</v>
      </c>
      <c r="G267" s="14">
        <f>data!BK61</f>
        <v>277144</v>
      </c>
      <c r="H267" s="14">
        <f>data!BL61</f>
        <v>757343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53351</v>
      </c>
      <c r="D268" s="14">
        <f>data!BH62</f>
        <v>12273</v>
      </c>
      <c r="E268" s="14">
        <f>data!BI62</f>
        <v>2324</v>
      </c>
      <c r="F268" s="14">
        <f>data!BJ62</f>
        <v>52253</v>
      </c>
      <c r="G268" s="14">
        <f>data!BK62</f>
        <v>59577</v>
      </c>
      <c r="H268" s="14">
        <f>data!BL62</f>
        <v>162805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13320</v>
      </c>
      <c r="E270" s="14">
        <f>data!BI64</f>
        <v>0</v>
      </c>
      <c r="F270" s="14">
        <f>data!BJ64</f>
        <v>76</v>
      </c>
      <c r="G270" s="14">
        <f>data!BK64</f>
        <v>0</v>
      </c>
      <c r="H270" s="14">
        <f>data!BL64</f>
        <v>593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80779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59964</v>
      </c>
      <c r="E272" s="14">
        <f>data!BI66</f>
        <v>144086</v>
      </c>
      <c r="F272" s="14">
        <f>data!BJ66</f>
        <v>0</v>
      </c>
      <c r="G272" s="14">
        <f>data!BK66</f>
        <v>113229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7911</v>
      </c>
      <c r="D273" s="14">
        <f>data!BH67</f>
        <v>9915</v>
      </c>
      <c r="E273" s="14">
        <f>data!BI67</f>
        <v>0</v>
      </c>
      <c r="F273" s="14">
        <f>data!BJ67</f>
        <v>8291</v>
      </c>
      <c r="G273" s="14">
        <f>data!BK67</f>
        <v>8602</v>
      </c>
      <c r="H273" s="14">
        <f>data!BL67</f>
        <v>47156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7331</v>
      </c>
      <c r="E275" s="14">
        <f>data!BI69</f>
        <v>892300</v>
      </c>
      <c r="F275" s="14">
        <f>data!BJ69</f>
        <v>11204.01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309443</v>
      </c>
      <c r="D277" s="14">
        <f>data!BH71</f>
        <v>240673.5</v>
      </c>
      <c r="E277" s="14">
        <f>data!BI71</f>
        <v>1049519</v>
      </c>
      <c r="F277" s="14">
        <f>data!BJ71</f>
        <v>314896.01</v>
      </c>
      <c r="G277" s="14">
        <f>data!BK71</f>
        <v>458552</v>
      </c>
      <c r="H277" s="14">
        <f>data!BL71</f>
        <v>967897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229</v>
      </c>
      <c r="D284" s="85">
        <f>data!BH76</f>
        <v>287</v>
      </c>
      <c r="E284" s="85">
        <f>data!BI76</f>
        <v>0</v>
      </c>
      <c r="F284" s="85">
        <f>data!BJ76</f>
        <v>240</v>
      </c>
      <c r="G284" s="85">
        <f>data!BK76</f>
        <v>249</v>
      </c>
      <c r="H284" s="85">
        <f>data!BL76</f>
        <v>1365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Inland Northwest Behavioral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2.0387931034482758</v>
      </c>
      <c r="D298" s="26">
        <f>data!BO60</f>
        <v>0</v>
      </c>
      <c r="E298" s="26">
        <f>data!BP60</f>
        <v>2.2672413793103448</v>
      </c>
      <c r="F298" s="26">
        <f>data!BQ60</f>
        <v>0</v>
      </c>
      <c r="G298" s="26">
        <f>data!BR60</f>
        <v>2.1197318007662833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288061</v>
      </c>
      <c r="D299" s="14">
        <f>data!BO61</f>
        <v>0</v>
      </c>
      <c r="E299" s="14">
        <f>data!BP61</f>
        <v>185511</v>
      </c>
      <c r="F299" s="14">
        <f>data!BQ61</f>
        <v>0</v>
      </c>
      <c r="G299" s="14">
        <f>data!BR61</f>
        <v>152871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61924</v>
      </c>
      <c r="D300" s="14">
        <f>data!BO62</f>
        <v>0</v>
      </c>
      <c r="E300" s="14">
        <f>data!BP62</f>
        <v>39879</v>
      </c>
      <c r="F300" s="14">
        <f>data!BQ62</f>
        <v>0</v>
      </c>
      <c r="G300" s="14">
        <f>data!BR62</f>
        <v>32862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2119</v>
      </c>
      <c r="D302" s="14">
        <f>data!BO64</f>
        <v>58423</v>
      </c>
      <c r="E302" s="14">
        <f>data!BP64</f>
        <v>704</v>
      </c>
      <c r="F302" s="14">
        <f>data!BQ64</f>
        <v>0</v>
      </c>
      <c r="G302" s="14">
        <f>data!BR64</f>
        <v>1222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28734</v>
      </c>
      <c r="D304" s="14">
        <f>data!BO66</f>
        <v>0</v>
      </c>
      <c r="E304" s="14">
        <f>data!BP66</f>
        <v>26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218885</v>
      </c>
      <c r="D305" s="14">
        <f>data!BO67</f>
        <v>0</v>
      </c>
      <c r="E305" s="14">
        <f>data!BP67</f>
        <v>3938</v>
      </c>
      <c r="F305" s="14">
        <f>data!BQ67</f>
        <v>0</v>
      </c>
      <c r="G305" s="14">
        <f>data!BR67</f>
        <v>6702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902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714717</v>
      </c>
      <c r="D307" s="14">
        <f>data!BO69</f>
        <v>0</v>
      </c>
      <c r="E307" s="14">
        <f>data!BP69</f>
        <v>51808</v>
      </c>
      <c r="F307" s="14">
        <f>data!BQ69</f>
        <v>0</v>
      </c>
      <c r="G307" s="14">
        <f>data!BR69</f>
        <v>56263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1315342</v>
      </c>
      <c r="D309" s="14">
        <f>data!BO71</f>
        <v>58423</v>
      </c>
      <c r="E309" s="14">
        <f>data!BP71</f>
        <v>281866</v>
      </c>
      <c r="F309" s="14">
        <f>data!BQ71</f>
        <v>0</v>
      </c>
      <c r="G309" s="14">
        <f>data!BR71</f>
        <v>249920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6336</v>
      </c>
      <c r="D316" s="85">
        <f>data!BO76</f>
        <v>0</v>
      </c>
      <c r="E316" s="85">
        <f>data!BP76</f>
        <v>114</v>
      </c>
      <c r="F316" s="85">
        <f>data!BQ76</f>
        <v>0</v>
      </c>
      <c r="G316" s="85">
        <f>data!BR76</f>
        <v>194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Inland Northwest Behavioral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2.3309386973180075</v>
      </c>
      <c r="E330" s="26">
        <f>data!BW60</f>
        <v>0</v>
      </c>
      <c r="F330" s="26">
        <f>data!BX60</f>
        <v>3.2318007662835249</v>
      </c>
      <c r="G330" s="26">
        <f>data!BY60</f>
        <v>8.3721264367816097</v>
      </c>
      <c r="H330" s="26">
        <f>data!BZ60</f>
        <v>0</v>
      </c>
      <c r="I330" s="26">
        <f>data!CA60</f>
        <v>5.3659003831417627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128771</v>
      </c>
      <c r="E331" s="86">
        <f>data!BW61</f>
        <v>0</v>
      </c>
      <c r="F331" s="86">
        <f>data!BX61</f>
        <v>237944</v>
      </c>
      <c r="G331" s="86">
        <f>data!BY61</f>
        <v>844961</v>
      </c>
      <c r="H331" s="86">
        <f>data!BZ61</f>
        <v>0</v>
      </c>
      <c r="I331" s="86">
        <f>data!CA61</f>
        <v>341420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27682</v>
      </c>
      <c r="E332" s="86">
        <f>data!BW62</f>
        <v>0</v>
      </c>
      <c r="F332" s="86">
        <f>data!BX62</f>
        <v>51150</v>
      </c>
      <c r="G332" s="86">
        <f>data!BY62</f>
        <v>181640</v>
      </c>
      <c r="H332" s="86">
        <f>data!BZ62</f>
        <v>0</v>
      </c>
      <c r="I332" s="86">
        <f>data!CA62</f>
        <v>73395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3502624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9285</v>
      </c>
      <c r="E334" s="86">
        <f>data!BW64</f>
        <v>0</v>
      </c>
      <c r="F334" s="86">
        <f>data!BX64</f>
        <v>131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19013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14924</v>
      </c>
      <c r="E337" s="86">
        <f>data!BW67</f>
        <v>40730</v>
      </c>
      <c r="F337" s="86">
        <f>data!BX67</f>
        <v>11469</v>
      </c>
      <c r="G337" s="86">
        <f>data!BY67</f>
        <v>16548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180662</v>
      </c>
      <c r="E341" s="14">
        <f>data!BW71</f>
        <v>3562367</v>
      </c>
      <c r="F341" s="14">
        <f>data!BX71</f>
        <v>300694</v>
      </c>
      <c r="G341" s="14">
        <f>data!BY71</f>
        <v>1043149</v>
      </c>
      <c r="H341" s="14">
        <f>data!BZ71</f>
        <v>0</v>
      </c>
      <c r="I341" s="14">
        <f>data!CA71</f>
        <v>414815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432</v>
      </c>
      <c r="E348" s="85">
        <f>data!BW76</f>
        <v>1179</v>
      </c>
      <c r="F348" s="85">
        <f>data!BX76</f>
        <v>332</v>
      </c>
      <c r="G348" s="85">
        <f>data!BY76</f>
        <v>479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Inland Northwest Behavioral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1.2461685823754789</v>
      </c>
      <c r="E362" s="217"/>
      <c r="F362" s="211"/>
      <c r="G362" s="211"/>
      <c r="H362" s="211"/>
      <c r="I362" s="87">
        <f>data!CE60</f>
        <v>154.78208812260539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107289</v>
      </c>
      <c r="E363" s="218"/>
      <c r="F363" s="219"/>
      <c r="G363" s="219"/>
      <c r="H363" s="219"/>
      <c r="I363" s="86">
        <f>data!CE61</f>
        <v>10330847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23064</v>
      </c>
      <c r="E364" s="218"/>
      <c r="F364" s="219"/>
      <c r="G364" s="219"/>
      <c r="H364" s="219"/>
      <c r="I364" s="86">
        <f>data!CE62</f>
        <v>2220808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3502624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788919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239013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840458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3386</v>
      </c>
      <c r="E369" s="218"/>
      <c r="F369" s="219"/>
      <c r="G369" s="219"/>
      <c r="H369" s="219"/>
      <c r="I369" s="86">
        <f>data!CE67</f>
        <v>2357261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2168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1907171.01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133739</v>
      </c>
      <c r="E373" s="86">
        <f>data!CD71</f>
        <v>0</v>
      </c>
      <c r="F373" s="219"/>
      <c r="G373" s="219"/>
      <c r="H373" s="219"/>
      <c r="I373" s="14">
        <f>data!CE71</f>
        <v>22189269.010000002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23668210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770490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24438700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98</v>
      </c>
      <c r="E380" s="214"/>
      <c r="F380" s="211"/>
      <c r="G380" s="211"/>
      <c r="H380" s="211"/>
      <c r="I380" s="14">
        <f>data!CE76</f>
        <v>68235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69486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8993.5910832462559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77361.08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66.53879310344827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2021-04-16T20:04:48Z</cp:lastPrinted>
  <dcterms:created xsi:type="dcterms:W3CDTF">1999-06-02T22:01:56Z</dcterms:created>
  <dcterms:modified xsi:type="dcterms:W3CDTF">2021-05-11T23:17:04Z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