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xr:revisionPtr revIDLastSave="0" documentId="8_{C6F851B2-AC18-44AE-9684-CC8661E8008E}" xr6:coauthVersionLast="45" xr6:coauthVersionMax="45" xr10:uidLastSave="{00000000-0000-0000-0000-000000000000}"/>
  <bookViews>
    <workbookView xWindow="-108" yWindow="-108" windowWidth="23256" windowHeight="12576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N69" i="1" l="1"/>
  <c r="BN66" i="1" l="1"/>
  <c r="BN47" i="1"/>
  <c r="BN61" i="1" l="1"/>
  <c r="AZ59" i="1" l="1"/>
  <c r="B428" i="1" l="1"/>
  <c r="B144" i="1"/>
  <c r="C139" i="1"/>
  <c r="C138" i="1"/>
  <c r="B139" i="1"/>
  <c r="B138" i="1"/>
  <c r="C223" i="10" l="1"/>
  <c r="C198" i="1" l="1"/>
  <c r="C197" i="1"/>
  <c r="C196" i="1"/>
  <c r="C306" i="1"/>
  <c r="C255" i="1"/>
  <c r="C389" i="1"/>
  <c r="C380" i="1" l="1"/>
  <c r="C384" i="1"/>
  <c r="C392" i="1"/>
  <c r="C360" i="1" l="1"/>
  <c r="C359" i="1"/>
  <c r="O817" i="10" l="1"/>
  <c r="M817" i="10"/>
  <c r="K817" i="10"/>
  <c r="J817" i="10"/>
  <c r="I817" i="10"/>
  <c r="H817" i="10"/>
  <c r="G817" i="10"/>
  <c r="F817" i="10"/>
  <c r="E817" i="10"/>
  <c r="D817" i="10"/>
  <c r="X815" i="10"/>
  <c r="W815" i="10"/>
  <c r="X813" i="10"/>
  <c r="W813" i="10"/>
  <c r="V813" i="10"/>
  <c r="V815" i="10" s="1"/>
  <c r="U813" i="10"/>
  <c r="U815" i="10" s="1"/>
  <c r="A813" i="10"/>
  <c r="T812" i="10"/>
  <c r="S812" i="10"/>
  <c r="R812" i="10"/>
  <c r="Q812" i="10"/>
  <c r="P812" i="10"/>
  <c r="M812" i="10"/>
  <c r="K812" i="10"/>
  <c r="I812" i="10"/>
  <c r="H812" i="10"/>
  <c r="F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K805" i="10"/>
  <c r="H805" i="10"/>
  <c r="F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M797" i="10"/>
  <c r="H797" i="10"/>
  <c r="F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K795" i="10"/>
  <c r="H795" i="10"/>
  <c r="F795" i="10"/>
  <c r="C795" i="10"/>
  <c r="A795" i="10"/>
  <c r="T794" i="10"/>
  <c r="S794" i="10"/>
  <c r="R794" i="10"/>
  <c r="Q794" i="10"/>
  <c r="P794" i="10"/>
  <c r="M794" i="10"/>
  <c r="K794" i="10"/>
  <c r="H794" i="10"/>
  <c r="F794" i="10"/>
  <c r="C794" i="10"/>
  <c r="A794" i="10"/>
  <c r="T793" i="10"/>
  <c r="S793" i="10"/>
  <c r="R793" i="10"/>
  <c r="Q793" i="10"/>
  <c r="P793" i="10"/>
  <c r="M793" i="10"/>
  <c r="K793" i="10"/>
  <c r="H793" i="10"/>
  <c r="F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K791" i="10"/>
  <c r="H791" i="10"/>
  <c r="F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K789" i="10"/>
  <c r="I789" i="10"/>
  <c r="H789" i="10"/>
  <c r="F789" i="10"/>
  <c r="C789" i="10"/>
  <c r="A789" i="10"/>
  <c r="T788" i="10"/>
  <c r="S788" i="10"/>
  <c r="R788" i="10"/>
  <c r="Q788" i="10"/>
  <c r="M788" i="10"/>
  <c r="F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F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K782" i="10"/>
  <c r="I782" i="10"/>
  <c r="H782" i="10"/>
  <c r="F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K780" i="10"/>
  <c r="I780" i="10"/>
  <c r="H780" i="10"/>
  <c r="F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K775" i="10"/>
  <c r="H775" i="10"/>
  <c r="F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K767" i="10"/>
  <c r="F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K764" i="10"/>
  <c r="F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M762" i="10"/>
  <c r="K762" i="10"/>
  <c r="H762" i="10"/>
  <c r="F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K760" i="10"/>
  <c r="I760" i="10"/>
  <c r="H760" i="10"/>
  <c r="F760" i="10"/>
  <c r="C760" i="10"/>
  <c r="B760" i="10"/>
  <c r="A760" i="10"/>
  <c r="T759" i="10"/>
  <c r="S759" i="10"/>
  <c r="R759" i="10"/>
  <c r="Q759" i="10"/>
  <c r="P759" i="10"/>
  <c r="M759" i="10"/>
  <c r="K759" i="10"/>
  <c r="H759" i="10"/>
  <c r="F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M756" i="10"/>
  <c r="K756" i="10"/>
  <c r="B756" i="10"/>
  <c r="A756" i="10"/>
  <c r="T755" i="10"/>
  <c r="S755" i="10"/>
  <c r="R755" i="10"/>
  <c r="Q755" i="10"/>
  <c r="P755" i="10"/>
  <c r="O755" i="10"/>
  <c r="M755" i="10"/>
  <c r="L755" i="10"/>
  <c r="K755" i="10"/>
  <c r="H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M752" i="10"/>
  <c r="K752" i="10"/>
  <c r="H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K749" i="10"/>
  <c r="I749" i="10"/>
  <c r="H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M747" i="10"/>
  <c r="K747" i="10"/>
  <c r="H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C745" i="10"/>
  <c r="B745" i="10"/>
  <c r="A745" i="10"/>
  <c r="T744" i="10"/>
  <c r="S744" i="10"/>
  <c r="R744" i="10"/>
  <c r="Q744" i="10"/>
  <c r="P744" i="10"/>
  <c r="O744" i="10"/>
  <c r="M744" i="10"/>
  <c r="K744" i="10"/>
  <c r="H744" i="10"/>
  <c r="F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M736" i="10"/>
  <c r="K736" i="10"/>
  <c r="F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M730" i="10"/>
  <c r="AL730" i="10"/>
  <c r="AK730" i="10"/>
  <c r="AJ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B722" i="10"/>
  <c r="CA722" i="10"/>
  <c r="BZ722" i="10"/>
  <c r="BX722" i="10"/>
  <c r="BW722" i="10"/>
  <c r="BV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D722" i="10"/>
  <c r="C722" i="10"/>
  <c r="A722" i="10"/>
  <c r="C615" i="10"/>
  <c r="E550" i="10"/>
  <c r="F550" i="10"/>
  <c r="F546" i="10"/>
  <c r="E546" i="10"/>
  <c r="H546" i="10"/>
  <c r="E545" i="10"/>
  <c r="H545" i="10"/>
  <c r="E544" i="10"/>
  <c r="H540" i="10"/>
  <c r="E540" i="10"/>
  <c r="F540" i="10"/>
  <c r="H539" i="10"/>
  <c r="F539" i="10"/>
  <c r="E539" i="10"/>
  <c r="H538" i="10"/>
  <c r="F538" i="10"/>
  <c r="E538" i="10"/>
  <c r="E537" i="10"/>
  <c r="F536" i="10"/>
  <c r="E536" i="10"/>
  <c r="H536" i="10"/>
  <c r="F535" i="10"/>
  <c r="E535" i="10"/>
  <c r="H535" i="10"/>
  <c r="E534" i="10"/>
  <c r="H534" i="10"/>
  <c r="E533" i="10"/>
  <c r="H532" i="10"/>
  <c r="E532" i="10"/>
  <c r="F532" i="10"/>
  <c r="E531" i="10"/>
  <c r="F531" i="10"/>
  <c r="F530" i="10"/>
  <c r="E530" i="10"/>
  <c r="F529" i="10"/>
  <c r="E529" i="10"/>
  <c r="H528" i="10"/>
  <c r="F528" i="10"/>
  <c r="E528" i="10"/>
  <c r="H527" i="10"/>
  <c r="F527" i="10"/>
  <c r="E527" i="10"/>
  <c r="E526" i="10"/>
  <c r="F525" i="10"/>
  <c r="E525" i="10"/>
  <c r="H525" i="10"/>
  <c r="E524" i="10"/>
  <c r="F524" i="10"/>
  <c r="H523" i="10"/>
  <c r="E523" i="10"/>
  <c r="F523" i="10"/>
  <c r="F522" i="10"/>
  <c r="E522" i="10"/>
  <c r="F521" i="10"/>
  <c r="E520" i="10"/>
  <c r="H520" i="10"/>
  <c r="F519" i="10"/>
  <c r="E519" i="10"/>
  <c r="H519" i="10"/>
  <c r="E518" i="10"/>
  <c r="F518" i="10"/>
  <c r="E517" i="10"/>
  <c r="F516" i="10"/>
  <c r="E516" i="10"/>
  <c r="E515" i="10"/>
  <c r="H515" i="10"/>
  <c r="E514" i="10"/>
  <c r="F514" i="10"/>
  <c r="H513" i="10"/>
  <c r="F513" i="10"/>
  <c r="H512" i="10"/>
  <c r="F512" i="10"/>
  <c r="F511" i="10"/>
  <c r="E511" i="10"/>
  <c r="H510" i="10"/>
  <c r="F510" i="10"/>
  <c r="E510" i="10"/>
  <c r="E509" i="10"/>
  <c r="E508" i="10"/>
  <c r="E507" i="10"/>
  <c r="E506" i="10"/>
  <c r="F506" i="10"/>
  <c r="E505" i="10"/>
  <c r="H505" i="10"/>
  <c r="F504" i="10"/>
  <c r="E504" i="10"/>
  <c r="H504" i="10"/>
  <c r="F503" i="10"/>
  <c r="E503" i="10"/>
  <c r="H503" i="10"/>
  <c r="H502" i="10"/>
  <c r="F502" i="10"/>
  <c r="E502" i="10"/>
  <c r="F501" i="10"/>
  <c r="E501" i="10"/>
  <c r="H501" i="10"/>
  <c r="E500" i="10"/>
  <c r="E499" i="10"/>
  <c r="H499" i="10"/>
  <c r="E498" i="10"/>
  <c r="F498" i="10"/>
  <c r="E497" i="10"/>
  <c r="F497" i="10"/>
  <c r="F496" i="10"/>
  <c r="E496" i="10"/>
  <c r="H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C438" i="10"/>
  <c r="B438" i="10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C417" i="10"/>
  <c r="B417" i="10"/>
  <c r="D415" i="10"/>
  <c r="B415" i="10"/>
  <c r="B414" i="10"/>
  <c r="A412" i="10"/>
  <c r="C389" i="10"/>
  <c r="D372" i="10"/>
  <c r="D368" i="10"/>
  <c r="D373" i="10" s="1"/>
  <c r="D367" i="10"/>
  <c r="C448" i="10" s="1"/>
  <c r="D361" i="10"/>
  <c r="N817" i="10" s="1"/>
  <c r="D329" i="10"/>
  <c r="D328" i="10"/>
  <c r="D330" i="10" s="1"/>
  <c r="D319" i="10"/>
  <c r="C311" i="10"/>
  <c r="AN730" i="10" s="1"/>
  <c r="C306" i="10"/>
  <c r="AI730" i="10" s="1"/>
  <c r="D290" i="10"/>
  <c r="D283" i="10"/>
  <c r="D275" i="10"/>
  <c r="D277" i="10" s="1"/>
  <c r="D265" i="10"/>
  <c r="C255" i="10"/>
  <c r="C239" i="10"/>
  <c r="C238" i="10"/>
  <c r="CC722" i="10" s="1"/>
  <c r="D236" i="10"/>
  <c r="B446" i="10" s="1"/>
  <c r="D229" i="10"/>
  <c r="B445" i="10" s="1"/>
  <c r="C228" i="10"/>
  <c r="BY722" i="10" s="1"/>
  <c r="C224" i="10"/>
  <c r="BU722" i="10" s="1"/>
  <c r="BT722" i="10"/>
  <c r="D221" i="10"/>
  <c r="CD722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C204" i="10"/>
  <c r="B204" i="10"/>
  <c r="D203" i="10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437" i="10" s="1"/>
  <c r="D186" i="10"/>
  <c r="D436" i="10" s="1"/>
  <c r="D181" i="10"/>
  <c r="D435" i="10" s="1"/>
  <c r="D177" i="10"/>
  <c r="D434" i="10" s="1"/>
  <c r="C172" i="10"/>
  <c r="H722" i="10" s="1"/>
  <c r="C170" i="10"/>
  <c r="G722" i="10" s="1"/>
  <c r="C169" i="10"/>
  <c r="F722" i="10" s="1"/>
  <c r="C168" i="10"/>
  <c r="E722" i="10" s="1"/>
  <c r="C165" i="10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E142" i="10"/>
  <c r="D464" i="10" s="1"/>
  <c r="E141" i="10"/>
  <c r="E140" i="10"/>
  <c r="E139" i="10"/>
  <c r="C415" i="10" s="1"/>
  <c r="E138" i="10"/>
  <c r="C414" i="10" s="1"/>
  <c r="E127" i="10"/>
  <c r="CE80" i="10"/>
  <c r="CF79" i="10"/>
  <c r="CE79" i="10"/>
  <c r="CE78" i="10"/>
  <c r="CE77" i="10"/>
  <c r="BN76" i="10"/>
  <c r="P797" i="10" s="1"/>
  <c r="BE76" i="10"/>
  <c r="P788" i="10" s="1"/>
  <c r="Y76" i="10"/>
  <c r="P756" i="10" s="1"/>
  <c r="P76" i="10"/>
  <c r="P747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F75" i="10"/>
  <c r="N763" i="10" s="1"/>
  <c r="AD75" i="10"/>
  <c r="N761" i="10" s="1"/>
  <c r="AA75" i="10"/>
  <c r="N758" i="10" s="1"/>
  <c r="Z75" i="10"/>
  <c r="N757" i="10" s="1"/>
  <c r="X75" i="10"/>
  <c r="N755" i="10" s="1"/>
  <c r="W75" i="10"/>
  <c r="N754" i="10" s="1"/>
  <c r="V75" i="10"/>
  <c r="N753" i="10" s="1"/>
  <c r="T75" i="10"/>
  <c r="N751" i="10" s="1"/>
  <c r="S75" i="10"/>
  <c r="N750" i="10" s="1"/>
  <c r="R75" i="10"/>
  <c r="N749" i="10" s="1"/>
  <c r="Q75" i="10"/>
  <c r="N748" i="10" s="1"/>
  <c r="O75" i="10"/>
  <c r="N746" i="10" s="1"/>
  <c r="N75" i="10"/>
  <c r="N745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D75" i="10"/>
  <c r="N735" i="10" s="1"/>
  <c r="C75" i="10"/>
  <c r="N734" i="10" s="1"/>
  <c r="AV74" i="10"/>
  <c r="AV75" i="10" s="1"/>
  <c r="N779" i="10" s="1"/>
  <c r="AJ74" i="10"/>
  <c r="AG74" i="10"/>
  <c r="AG75" i="10" s="1"/>
  <c r="N764" i="10" s="1"/>
  <c r="AE74" i="10"/>
  <c r="AC74" i="10"/>
  <c r="AC75" i="10" s="1"/>
  <c r="N760" i="10" s="1"/>
  <c r="AB74" i="10"/>
  <c r="Y74" i="10"/>
  <c r="U74" i="10"/>
  <c r="P74" i="10"/>
  <c r="M74" i="10"/>
  <c r="M75" i="10" s="1"/>
  <c r="N744" i="10" s="1"/>
  <c r="E74" i="10"/>
  <c r="CE74" i="10" s="1"/>
  <c r="C464" i="10" s="1"/>
  <c r="AE73" i="10"/>
  <c r="O762" i="10" s="1"/>
  <c r="AB73" i="10"/>
  <c r="O759" i="10" s="1"/>
  <c r="Y73" i="10"/>
  <c r="O756" i="10" s="1"/>
  <c r="U73" i="10"/>
  <c r="P73" i="10"/>
  <c r="O747" i="10" s="1"/>
  <c r="E73" i="10"/>
  <c r="CD71" i="10"/>
  <c r="C575" i="10" s="1"/>
  <c r="CE70" i="10"/>
  <c r="M816" i="10" s="1"/>
  <c r="CC69" i="10"/>
  <c r="L812" i="10" s="1"/>
  <c r="BV69" i="10"/>
  <c r="L805" i="10" s="1"/>
  <c r="BN69" i="10"/>
  <c r="L797" i="10" s="1"/>
  <c r="BL69" i="10"/>
  <c r="L795" i="10" s="1"/>
  <c r="BK69" i="10"/>
  <c r="L794" i="10" s="1"/>
  <c r="BJ69" i="10"/>
  <c r="L793" i="10" s="1"/>
  <c r="BH69" i="10"/>
  <c r="L791" i="10" s="1"/>
  <c r="BF69" i="10"/>
  <c r="L789" i="10" s="1"/>
  <c r="BE69" i="10"/>
  <c r="L788" i="10" s="1"/>
  <c r="AY69" i="10"/>
  <c r="L782" i="10" s="1"/>
  <c r="AW69" i="10"/>
  <c r="L780" i="10" s="1"/>
  <c r="AR69" i="10"/>
  <c r="L775" i="10" s="1"/>
  <c r="AJ69" i="10"/>
  <c r="L767" i="10" s="1"/>
  <c r="AG69" i="10"/>
  <c r="L764" i="10" s="1"/>
  <c r="AE69" i="10"/>
  <c r="L762" i="10" s="1"/>
  <c r="AC69" i="10"/>
  <c r="L760" i="10" s="1"/>
  <c r="AB69" i="10"/>
  <c r="L759" i="10" s="1"/>
  <c r="Y69" i="10"/>
  <c r="L756" i="10" s="1"/>
  <c r="U69" i="10"/>
  <c r="L752" i="10" s="1"/>
  <c r="R69" i="10"/>
  <c r="L749" i="10" s="1"/>
  <c r="P69" i="10"/>
  <c r="L747" i="10" s="1"/>
  <c r="M69" i="10"/>
  <c r="L744" i="10" s="1"/>
  <c r="E69" i="10"/>
  <c r="BN68" i="10"/>
  <c r="K797" i="10" s="1"/>
  <c r="BE68" i="10"/>
  <c r="K788" i="10" s="1"/>
  <c r="BV66" i="10"/>
  <c r="I805" i="10" s="1"/>
  <c r="BN66" i="10"/>
  <c r="I797" i="10" s="1"/>
  <c r="BL66" i="10"/>
  <c r="I795" i="10" s="1"/>
  <c r="BK66" i="10"/>
  <c r="I794" i="10" s="1"/>
  <c r="BJ66" i="10"/>
  <c r="I793" i="10" s="1"/>
  <c r="BH66" i="10"/>
  <c r="I791" i="10" s="1"/>
  <c r="BE66" i="10"/>
  <c r="I788" i="10" s="1"/>
  <c r="AR66" i="10"/>
  <c r="I775" i="10" s="1"/>
  <c r="AJ66" i="10"/>
  <c r="I767" i="10" s="1"/>
  <c r="AG66" i="10"/>
  <c r="I764" i="10" s="1"/>
  <c r="AE66" i="10"/>
  <c r="I762" i="10" s="1"/>
  <c r="AB66" i="10"/>
  <c r="I759" i="10" s="1"/>
  <c r="Y66" i="10"/>
  <c r="I756" i="10" s="1"/>
  <c r="X66" i="10"/>
  <c r="I755" i="10" s="1"/>
  <c r="U66" i="10"/>
  <c r="I752" i="10" s="1"/>
  <c r="P66" i="10"/>
  <c r="I747" i="10" s="1"/>
  <c r="M66" i="10"/>
  <c r="I744" i="10" s="1"/>
  <c r="E66" i="10"/>
  <c r="I736" i="10" s="1"/>
  <c r="BE65" i="10"/>
  <c r="H788" i="10" s="1"/>
  <c r="AJ65" i="10"/>
  <c r="H767" i="10" s="1"/>
  <c r="AG65" i="10"/>
  <c r="H764" i="10" s="1"/>
  <c r="Y65" i="10"/>
  <c r="H756" i="10" s="1"/>
  <c r="E65" i="10"/>
  <c r="H736" i="10" s="1"/>
  <c r="CC64" i="10"/>
  <c r="G812" i="10" s="1"/>
  <c r="BV64" i="10"/>
  <c r="G805" i="10" s="1"/>
  <c r="BN64" i="10"/>
  <c r="G797" i="10" s="1"/>
  <c r="BL64" i="10"/>
  <c r="G795" i="10" s="1"/>
  <c r="BK64" i="10"/>
  <c r="G794" i="10" s="1"/>
  <c r="BJ64" i="10"/>
  <c r="G793" i="10" s="1"/>
  <c r="BH64" i="10"/>
  <c r="G791" i="10" s="1"/>
  <c r="BF64" i="10"/>
  <c r="G789" i="10" s="1"/>
  <c r="BE64" i="10"/>
  <c r="G788" i="10" s="1"/>
  <c r="BD64" i="10"/>
  <c r="G787" i="10" s="1"/>
  <c r="AY64" i="10"/>
  <c r="G782" i="10" s="1"/>
  <c r="AW64" i="10"/>
  <c r="G780" i="10" s="1"/>
  <c r="AR64" i="10"/>
  <c r="G775" i="10" s="1"/>
  <c r="AJ64" i="10"/>
  <c r="G767" i="10" s="1"/>
  <c r="AG64" i="10"/>
  <c r="G764" i="10" s="1"/>
  <c r="AE64" i="10"/>
  <c r="G762" i="10" s="1"/>
  <c r="AC64" i="10"/>
  <c r="G760" i="10" s="1"/>
  <c r="AB64" i="10"/>
  <c r="G759" i="10" s="1"/>
  <c r="Y64" i="10"/>
  <c r="G756" i="10" s="1"/>
  <c r="X64" i="10"/>
  <c r="G755" i="10" s="1"/>
  <c r="U64" i="10"/>
  <c r="G752" i="10" s="1"/>
  <c r="R64" i="10"/>
  <c r="G749" i="10" s="1"/>
  <c r="P64" i="10"/>
  <c r="G747" i="10" s="1"/>
  <c r="M64" i="10"/>
  <c r="G744" i="10" s="1"/>
  <c r="E64" i="10"/>
  <c r="Y63" i="10"/>
  <c r="F756" i="10" s="1"/>
  <c r="U63" i="10"/>
  <c r="F752" i="10" s="1"/>
  <c r="P63" i="10"/>
  <c r="F747" i="10" s="1"/>
  <c r="CC61" i="10"/>
  <c r="BY61" i="10"/>
  <c r="D808" i="10" s="1"/>
  <c r="BV61" i="10"/>
  <c r="D805" i="10" s="1"/>
  <c r="BN61" i="10"/>
  <c r="D797" i="10" s="1"/>
  <c r="BL61" i="10"/>
  <c r="D795" i="10" s="1"/>
  <c r="BK61" i="10"/>
  <c r="D794" i="10" s="1"/>
  <c r="BJ61" i="10"/>
  <c r="D793" i="10" s="1"/>
  <c r="BH61" i="10"/>
  <c r="D791" i="10" s="1"/>
  <c r="BF61" i="10"/>
  <c r="D789" i="10" s="1"/>
  <c r="BE61" i="10"/>
  <c r="D788" i="10" s="1"/>
  <c r="BD61" i="10"/>
  <c r="D787" i="10" s="1"/>
  <c r="BC61" i="10"/>
  <c r="AY61" i="10"/>
  <c r="D782" i="10" s="1"/>
  <c r="AW61" i="10"/>
  <c r="D780" i="10" s="1"/>
  <c r="AR61" i="10"/>
  <c r="D775" i="10" s="1"/>
  <c r="AJ61" i="10"/>
  <c r="D767" i="10" s="1"/>
  <c r="AG61" i="10"/>
  <c r="AE61" i="10"/>
  <c r="D762" i="10" s="1"/>
  <c r="AC61" i="10"/>
  <c r="AB61" i="10"/>
  <c r="D759" i="10" s="1"/>
  <c r="Y61" i="10"/>
  <c r="U61" i="10"/>
  <c r="D752" i="10" s="1"/>
  <c r="P61" i="10"/>
  <c r="D747" i="10" s="1"/>
  <c r="N61" i="10"/>
  <c r="D745" i="10" s="1"/>
  <c r="M61" i="10"/>
  <c r="E61" i="10"/>
  <c r="D736" i="10" s="1"/>
  <c r="CE60" i="10"/>
  <c r="BN60" i="10"/>
  <c r="C797" i="10" s="1"/>
  <c r="Y60" i="10"/>
  <c r="C756" i="10" s="1"/>
  <c r="B53" i="10"/>
  <c r="BN51" i="10"/>
  <c r="CE51" i="10" s="1"/>
  <c r="B49" i="10"/>
  <c r="CC47" i="10"/>
  <c r="BY47" i="10"/>
  <c r="BV47" i="10"/>
  <c r="BN47" i="10"/>
  <c r="BL47" i="10"/>
  <c r="BK47" i="10"/>
  <c r="BJ47" i="10"/>
  <c r="BH47" i="10"/>
  <c r="BF47" i="10"/>
  <c r="BE47" i="10"/>
  <c r="BD47" i="10"/>
  <c r="AY47" i="10"/>
  <c r="AW47" i="10"/>
  <c r="AR47" i="10"/>
  <c r="AJ47" i="10"/>
  <c r="AG47" i="10"/>
  <c r="AE47" i="10"/>
  <c r="AC47" i="10"/>
  <c r="AB47" i="10"/>
  <c r="Y47" i="10"/>
  <c r="U47" i="10"/>
  <c r="R47" i="10"/>
  <c r="P47" i="10"/>
  <c r="N47" i="10"/>
  <c r="E47" i="10"/>
  <c r="AE75" i="10" l="1"/>
  <c r="N762" i="10" s="1"/>
  <c r="D314" i="10"/>
  <c r="C458" i="10"/>
  <c r="CE65" i="10"/>
  <c r="CE73" i="10"/>
  <c r="O816" i="10" s="1"/>
  <c r="P75" i="10"/>
  <c r="N747" i="10" s="1"/>
  <c r="D463" i="10"/>
  <c r="D465" i="10" s="1"/>
  <c r="E217" i="10"/>
  <c r="C478" i="10" s="1"/>
  <c r="CE47" i="10"/>
  <c r="C816" i="10"/>
  <c r="BI730" i="10"/>
  <c r="H612" i="10"/>
  <c r="C463" i="10"/>
  <c r="D760" i="10"/>
  <c r="D438" i="10"/>
  <c r="C473" i="10"/>
  <c r="H497" i="10"/>
  <c r="F507" i="10"/>
  <c r="F515" i="10"/>
  <c r="F517" i="10"/>
  <c r="H533" i="10"/>
  <c r="F533" i="10"/>
  <c r="L736" i="10"/>
  <c r="CE69" i="10"/>
  <c r="C439" i="10"/>
  <c r="D744" i="10"/>
  <c r="D764" i="10"/>
  <c r="D812" i="10"/>
  <c r="CE61" i="10"/>
  <c r="CE63" i="10"/>
  <c r="B722" i="10"/>
  <c r="D173" i="10"/>
  <c r="D428" i="10" s="1"/>
  <c r="D240" i="10"/>
  <c r="B447" i="10" s="1"/>
  <c r="B444" i="10"/>
  <c r="B476" i="10"/>
  <c r="F499" i="10"/>
  <c r="H508" i="10"/>
  <c r="F508" i="10"/>
  <c r="H531" i="10"/>
  <c r="G736" i="10"/>
  <c r="CE64" i="10"/>
  <c r="E204" i="10"/>
  <c r="C476" i="10" s="1"/>
  <c r="G730" i="10"/>
  <c r="D260" i="10"/>
  <c r="D292" i="10" s="1"/>
  <c r="D341" i="10" s="1"/>
  <c r="C481" i="10" s="1"/>
  <c r="CE76" i="10"/>
  <c r="AR722" i="10"/>
  <c r="E203" i="10"/>
  <c r="C475" i="10" s="1"/>
  <c r="D339" i="10"/>
  <c r="C482" i="10" s="1"/>
  <c r="F509" i="10"/>
  <c r="CE66" i="10"/>
  <c r="E75" i="10"/>
  <c r="N736" i="10" s="1"/>
  <c r="O736" i="10"/>
  <c r="O815" i="10" s="1"/>
  <c r="AB75" i="10"/>
  <c r="N759" i="10" s="1"/>
  <c r="H500" i="10"/>
  <c r="F500" i="10"/>
  <c r="F505" i="10"/>
  <c r="Q816" i="10"/>
  <c r="G612" i="10"/>
  <c r="CF77" i="10"/>
  <c r="L817" i="10"/>
  <c r="CC730" i="10"/>
  <c r="D390" i="10"/>
  <c r="B441" i="10" s="1"/>
  <c r="D756" i="10"/>
  <c r="D786" i="10"/>
  <c r="O752" i="10"/>
  <c r="U75" i="10"/>
  <c r="N752" i="10" s="1"/>
  <c r="R816" i="10"/>
  <c r="I612" i="10"/>
  <c r="D204" i="10"/>
  <c r="B439" i="10"/>
  <c r="B440" i="10" s="1"/>
  <c r="Y75" i="10"/>
  <c r="N756" i="10" s="1"/>
  <c r="P815" i="10"/>
  <c r="S816" i="10"/>
  <c r="J612" i="10"/>
  <c r="B465" i="10"/>
  <c r="F520" i="10"/>
  <c r="F526" i="10"/>
  <c r="F534" i="10"/>
  <c r="F544" i="10"/>
  <c r="CE68" i="10"/>
  <c r="T816" i="10"/>
  <c r="L612" i="10"/>
  <c r="F537" i="10"/>
  <c r="F815" i="10"/>
  <c r="G815" i="10"/>
  <c r="S815" i="10"/>
  <c r="F545" i="10"/>
  <c r="K815" i="10"/>
  <c r="T815" i="10"/>
  <c r="H815" i="10"/>
  <c r="C815" i="10"/>
  <c r="L815" i="10"/>
  <c r="M815" i="10"/>
  <c r="Q815" i="10"/>
  <c r="I815" i="10"/>
  <c r="R815" i="10"/>
  <c r="N815" i="10" l="1"/>
  <c r="D391" i="10"/>
  <c r="D393" i="10" s="1"/>
  <c r="D396" i="10" s="1"/>
  <c r="H816" i="10"/>
  <c r="C431" i="10"/>
  <c r="CE75" i="10"/>
  <c r="D815" i="10"/>
  <c r="F816" i="10"/>
  <c r="C429" i="10"/>
  <c r="G816" i="10"/>
  <c r="F612" i="10"/>
  <c r="C430" i="10"/>
  <c r="D816" i="10"/>
  <c r="C427" i="10"/>
  <c r="CB48" i="10"/>
  <c r="CB62" i="10" s="1"/>
  <c r="BT48" i="10"/>
  <c r="BT62" i="10" s="1"/>
  <c r="BL48" i="10"/>
  <c r="BL62" i="10" s="1"/>
  <c r="BD48" i="10"/>
  <c r="BD62" i="10" s="1"/>
  <c r="AV48" i="10"/>
  <c r="AV62" i="10" s="1"/>
  <c r="AN48" i="10"/>
  <c r="AN62" i="10" s="1"/>
  <c r="AF48" i="10"/>
  <c r="AF62" i="10" s="1"/>
  <c r="X48" i="10"/>
  <c r="X62" i="10" s="1"/>
  <c r="P48" i="10"/>
  <c r="P62" i="10" s="1"/>
  <c r="H48" i="10"/>
  <c r="H62" i="10" s="1"/>
  <c r="BS48" i="10"/>
  <c r="BS62" i="10" s="1"/>
  <c r="BC48" i="10"/>
  <c r="BC62" i="10" s="1"/>
  <c r="AU48" i="10"/>
  <c r="AU62" i="10" s="1"/>
  <c r="AE48" i="10"/>
  <c r="AE62" i="10" s="1"/>
  <c r="O48" i="10"/>
  <c r="O62" i="10" s="1"/>
  <c r="CA48" i="10"/>
  <c r="CA62" i="10" s="1"/>
  <c r="BK48" i="10"/>
  <c r="BK62" i="10" s="1"/>
  <c r="AM48" i="10"/>
  <c r="AM62" i="10" s="1"/>
  <c r="W48" i="10"/>
  <c r="W62" i="10" s="1"/>
  <c r="G48" i="10"/>
  <c r="G62" i="10" s="1"/>
  <c r="BZ48" i="10"/>
  <c r="BZ62" i="10" s="1"/>
  <c r="BR48" i="10"/>
  <c r="BR62" i="10" s="1"/>
  <c r="BJ48" i="10"/>
  <c r="BJ62" i="10" s="1"/>
  <c r="BB48" i="10"/>
  <c r="BB62" i="10" s="1"/>
  <c r="AT48" i="10"/>
  <c r="AT62" i="10" s="1"/>
  <c r="AL48" i="10"/>
  <c r="AL62" i="10" s="1"/>
  <c r="AD48" i="10"/>
  <c r="AD62" i="10" s="1"/>
  <c r="V48" i="10"/>
  <c r="V62" i="10" s="1"/>
  <c r="N48" i="10"/>
  <c r="N62" i="10" s="1"/>
  <c r="F48" i="10"/>
  <c r="F62" i="10" s="1"/>
  <c r="BY48" i="10"/>
  <c r="BY62" i="10" s="1"/>
  <c r="BQ48" i="10"/>
  <c r="BQ62" i="10" s="1"/>
  <c r="BI48" i="10"/>
  <c r="BI62" i="10" s="1"/>
  <c r="BA48" i="10"/>
  <c r="BA62" i="10" s="1"/>
  <c r="AK48" i="10"/>
  <c r="AK62" i="10" s="1"/>
  <c r="AC48" i="10"/>
  <c r="AC62" i="10" s="1"/>
  <c r="M48" i="10"/>
  <c r="M62" i="10" s="1"/>
  <c r="AS48" i="10"/>
  <c r="AS62" i="10" s="1"/>
  <c r="U48" i="10"/>
  <c r="U62" i="10" s="1"/>
  <c r="E48" i="10"/>
  <c r="E62" i="10" s="1"/>
  <c r="BX48" i="10"/>
  <c r="BX62" i="10" s="1"/>
  <c r="BP48" i="10"/>
  <c r="BP62" i="10" s="1"/>
  <c r="BH48" i="10"/>
  <c r="BH62" i="10" s="1"/>
  <c r="AZ48" i="10"/>
  <c r="AZ62" i="10" s="1"/>
  <c r="AR48" i="10"/>
  <c r="AR62" i="10" s="1"/>
  <c r="AJ48" i="10"/>
  <c r="AJ62" i="10" s="1"/>
  <c r="AB48" i="10"/>
  <c r="AB62" i="10" s="1"/>
  <c r="T48" i="10"/>
  <c r="T62" i="10" s="1"/>
  <c r="L48" i="10"/>
  <c r="L62" i="10" s="1"/>
  <c r="D48" i="10"/>
  <c r="D62" i="10" s="1"/>
  <c r="BG48" i="10"/>
  <c r="BG62" i="10" s="1"/>
  <c r="AQ48" i="10"/>
  <c r="AQ62" i="10" s="1"/>
  <c r="AA48" i="10"/>
  <c r="AA62" i="10" s="1"/>
  <c r="S48" i="10"/>
  <c r="S62" i="10" s="1"/>
  <c r="C48" i="10"/>
  <c r="BW48" i="10"/>
  <c r="BW62" i="10" s="1"/>
  <c r="BO48" i="10"/>
  <c r="BO62" i="10" s="1"/>
  <c r="AY48" i="10"/>
  <c r="AY62" i="10" s="1"/>
  <c r="AI48" i="10"/>
  <c r="AI62" i="10" s="1"/>
  <c r="K48" i="10"/>
  <c r="K62" i="10" s="1"/>
  <c r="BV48" i="10"/>
  <c r="BV62" i="10" s="1"/>
  <c r="BN48" i="10"/>
  <c r="BN62" i="10" s="1"/>
  <c r="BF48" i="10"/>
  <c r="BF62" i="10" s="1"/>
  <c r="AX48" i="10"/>
  <c r="AX62" i="10" s="1"/>
  <c r="AP48" i="10"/>
  <c r="AP62" i="10" s="1"/>
  <c r="AH48" i="10"/>
  <c r="AH62" i="10" s="1"/>
  <c r="Z48" i="10"/>
  <c r="Z62" i="10" s="1"/>
  <c r="R48" i="10"/>
  <c r="R62" i="10" s="1"/>
  <c r="J48" i="10"/>
  <c r="J62" i="10" s="1"/>
  <c r="BE48" i="10"/>
  <c r="BE62" i="10" s="1"/>
  <c r="AW48" i="10"/>
  <c r="AW62" i="10" s="1"/>
  <c r="AO48" i="10"/>
  <c r="AO62" i="10" s="1"/>
  <c r="AG48" i="10"/>
  <c r="AG62" i="10" s="1"/>
  <c r="I48" i="10"/>
  <c r="I62" i="10" s="1"/>
  <c r="BU48" i="10"/>
  <c r="BU62" i="10" s="1"/>
  <c r="Y48" i="10"/>
  <c r="Y62" i="10" s="1"/>
  <c r="CC48" i="10"/>
  <c r="CC62" i="10" s="1"/>
  <c r="Q48" i="10"/>
  <c r="Q62" i="10" s="1"/>
  <c r="BM48" i="10"/>
  <c r="BM62" i="10" s="1"/>
  <c r="N816" i="10"/>
  <c r="K612" i="10"/>
  <c r="C465" i="10"/>
  <c r="P816" i="10"/>
  <c r="D612" i="10"/>
  <c r="CF76" i="10"/>
  <c r="AQ52" i="10" s="1"/>
  <c r="AQ67" i="10" s="1"/>
  <c r="J774" i="10" s="1"/>
  <c r="C52" i="10"/>
  <c r="AB52" i="10"/>
  <c r="AB67" i="10" s="1"/>
  <c r="J759" i="10" s="1"/>
  <c r="AT52" i="10"/>
  <c r="AT67" i="10" s="1"/>
  <c r="J777" i="10" s="1"/>
  <c r="D242" i="10"/>
  <c r="B448" i="10" s="1"/>
  <c r="I816" i="10"/>
  <c r="C432" i="10"/>
  <c r="K816" i="10"/>
  <c r="C434" i="10"/>
  <c r="L816" i="10"/>
  <c r="C440" i="10"/>
  <c r="BN52" i="10" l="1"/>
  <c r="BN67" i="10" s="1"/>
  <c r="J797" i="10" s="1"/>
  <c r="AL52" i="10"/>
  <c r="AL67" i="10" s="1"/>
  <c r="J769" i="10" s="1"/>
  <c r="AZ52" i="10"/>
  <c r="AZ67" i="10" s="1"/>
  <c r="J783" i="10" s="1"/>
  <c r="P52" i="10"/>
  <c r="P67" i="10" s="1"/>
  <c r="J747" i="10" s="1"/>
  <c r="AK52" i="10"/>
  <c r="AK67" i="10" s="1"/>
  <c r="J768" i="10" s="1"/>
  <c r="AS52" i="10"/>
  <c r="AS67" i="10" s="1"/>
  <c r="J776" i="10" s="1"/>
  <c r="AF52" i="10"/>
  <c r="AF67" i="10" s="1"/>
  <c r="J763" i="10" s="1"/>
  <c r="CC52" i="10"/>
  <c r="CC67" i="10" s="1"/>
  <c r="J812" i="10" s="1"/>
  <c r="G52" i="10"/>
  <c r="G67" i="10" s="1"/>
  <c r="J738" i="10" s="1"/>
  <c r="BF52" i="10"/>
  <c r="BF67" i="10" s="1"/>
  <c r="J789" i="10" s="1"/>
  <c r="AN52" i="10"/>
  <c r="AN67" i="10" s="1"/>
  <c r="J771" i="10" s="1"/>
  <c r="AR52" i="10"/>
  <c r="AR67" i="10" s="1"/>
  <c r="J775" i="10" s="1"/>
  <c r="X52" i="10"/>
  <c r="X67" i="10" s="1"/>
  <c r="J755" i="10" s="1"/>
  <c r="O52" i="10"/>
  <c r="O67" i="10" s="1"/>
  <c r="J746" i="10" s="1"/>
  <c r="CB52" i="10"/>
  <c r="CB67" i="10" s="1"/>
  <c r="J811" i="10" s="1"/>
  <c r="BD52" i="10"/>
  <c r="BD67" i="10" s="1"/>
  <c r="J787" i="10" s="1"/>
  <c r="BC52" i="10"/>
  <c r="BC67" i="10" s="1"/>
  <c r="J786" i="10" s="1"/>
  <c r="Y52" i="10"/>
  <c r="Y67" i="10" s="1"/>
  <c r="J756" i="10" s="1"/>
  <c r="BQ52" i="10"/>
  <c r="BQ67" i="10" s="1"/>
  <c r="J800" i="10" s="1"/>
  <c r="AX52" i="10"/>
  <c r="AX67" i="10" s="1"/>
  <c r="J781" i="10" s="1"/>
  <c r="AY52" i="10"/>
  <c r="AY67" i="10" s="1"/>
  <c r="J782" i="10" s="1"/>
  <c r="AJ52" i="10"/>
  <c r="AJ67" i="10" s="1"/>
  <c r="J767" i="10" s="1"/>
  <c r="I52" i="10"/>
  <c r="I67" i="10" s="1"/>
  <c r="J740" i="10" s="1"/>
  <c r="BI52" i="10"/>
  <c r="BI67" i="10" s="1"/>
  <c r="J792" i="10" s="1"/>
  <c r="E736" i="10"/>
  <c r="BJ52" i="10"/>
  <c r="BJ67" i="10" s="1"/>
  <c r="J793" i="10" s="1"/>
  <c r="BA52" i="10"/>
  <c r="BA67" i="10" s="1"/>
  <c r="J784" i="10" s="1"/>
  <c r="BB52" i="10"/>
  <c r="BB67" i="10" s="1"/>
  <c r="J785" i="10" s="1"/>
  <c r="BK52" i="10"/>
  <c r="BK67" i="10" s="1"/>
  <c r="J794" i="10" s="1"/>
  <c r="BG52" i="10"/>
  <c r="BG67" i="10" s="1"/>
  <c r="J790" i="10" s="1"/>
  <c r="E796" i="10"/>
  <c r="E780" i="10"/>
  <c r="E789" i="10"/>
  <c r="BF71" i="10"/>
  <c r="C62" i="10"/>
  <c r="CE48" i="10"/>
  <c r="E759" i="10"/>
  <c r="AB71" i="10"/>
  <c r="E752" i="10"/>
  <c r="E808" i="10"/>
  <c r="E785" i="10"/>
  <c r="E810" i="10"/>
  <c r="E755" i="10"/>
  <c r="X71" i="10"/>
  <c r="E751" i="10"/>
  <c r="Q52" i="10"/>
  <c r="Q67" i="10" s="1"/>
  <c r="J748" i="10" s="1"/>
  <c r="BY52" i="10"/>
  <c r="BY67" i="10" s="1"/>
  <c r="J808" i="10" s="1"/>
  <c r="BT52" i="10"/>
  <c r="BT67" i="10" s="1"/>
  <c r="J803" i="10" s="1"/>
  <c r="BU52" i="10"/>
  <c r="BU67" i="10" s="1"/>
  <c r="J804" i="10" s="1"/>
  <c r="BL52" i="10"/>
  <c r="BL67" i="10" s="1"/>
  <c r="J795" i="10" s="1"/>
  <c r="BM52" i="10"/>
  <c r="BM67" i="10" s="1"/>
  <c r="J796" i="10" s="1"/>
  <c r="BS52" i="10"/>
  <c r="BS67" i="10" s="1"/>
  <c r="J802" i="10" s="1"/>
  <c r="BO52" i="10"/>
  <c r="BO67" i="10" s="1"/>
  <c r="J798" i="10" s="1"/>
  <c r="E748" i="10"/>
  <c r="Q71" i="10"/>
  <c r="E788" i="10"/>
  <c r="E797" i="10"/>
  <c r="BN71" i="10"/>
  <c r="E750" i="10"/>
  <c r="E767" i="10"/>
  <c r="AJ71" i="10"/>
  <c r="E776" i="10"/>
  <c r="AS71" i="10"/>
  <c r="E793" i="10"/>
  <c r="BJ71" i="10"/>
  <c r="E746" i="10"/>
  <c r="O71" i="10"/>
  <c r="E763" i="10"/>
  <c r="AF71" i="10"/>
  <c r="E800" i="10"/>
  <c r="BQ71" i="10"/>
  <c r="C67" i="10"/>
  <c r="BV52" i="10"/>
  <c r="BV67" i="10" s="1"/>
  <c r="J805" i="10" s="1"/>
  <c r="BX52" i="10"/>
  <c r="BX67" i="10" s="1"/>
  <c r="J807" i="10" s="1"/>
  <c r="CA52" i="10"/>
  <c r="CA67" i="10" s="1"/>
  <c r="J810" i="10" s="1"/>
  <c r="BW52" i="10"/>
  <c r="BW67" i="10" s="1"/>
  <c r="J806" i="10" s="1"/>
  <c r="E812" i="10"/>
  <c r="E741" i="10"/>
  <c r="E805" i="10"/>
  <c r="BV71" i="10"/>
  <c r="E758" i="10"/>
  <c r="E775" i="10"/>
  <c r="AR71" i="10"/>
  <c r="E744" i="10"/>
  <c r="E737" i="10"/>
  <c r="E801" i="10"/>
  <c r="E762" i="10"/>
  <c r="AE71" i="10"/>
  <c r="E771" i="10"/>
  <c r="AN71" i="10"/>
  <c r="E781" i="10"/>
  <c r="AX71" i="10"/>
  <c r="E777" i="10"/>
  <c r="AT71" i="10"/>
  <c r="K52" i="10"/>
  <c r="K67" i="10" s="1"/>
  <c r="J742" i="10" s="1"/>
  <c r="L52" i="10"/>
  <c r="L67" i="10" s="1"/>
  <c r="J743" i="10" s="1"/>
  <c r="E52" i="10"/>
  <c r="E67" i="10" s="1"/>
  <c r="J736" i="10" s="1"/>
  <c r="W52" i="10"/>
  <c r="W67" i="10" s="1"/>
  <c r="J754" i="10" s="1"/>
  <c r="S52" i="10"/>
  <c r="S67" i="10" s="1"/>
  <c r="J750" i="10" s="1"/>
  <c r="E756" i="10"/>
  <c r="Y71" i="10"/>
  <c r="E749" i="10"/>
  <c r="E742" i="10"/>
  <c r="E774" i="10"/>
  <c r="AQ71" i="10"/>
  <c r="E783" i="10"/>
  <c r="AZ71" i="10"/>
  <c r="E760" i="10"/>
  <c r="E745" i="10"/>
  <c r="E809" i="10"/>
  <c r="E778" i="10"/>
  <c r="E779" i="10"/>
  <c r="E772" i="10"/>
  <c r="E747" i="10"/>
  <c r="P71" i="10"/>
  <c r="H52" i="10"/>
  <c r="H67" i="10" s="1"/>
  <c r="J739" i="10" s="1"/>
  <c r="AW52" i="10"/>
  <c r="AW67" i="10" s="1"/>
  <c r="J780" i="10" s="1"/>
  <c r="J52" i="10"/>
  <c r="J67" i="10" s="1"/>
  <c r="J741" i="10" s="1"/>
  <c r="T52" i="10"/>
  <c r="T67" i="10" s="1"/>
  <c r="J751" i="10" s="1"/>
  <c r="AP52" i="10"/>
  <c r="AP67" i="10" s="1"/>
  <c r="J773" i="10" s="1"/>
  <c r="M52" i="10"/>
  <c r="M67" i="10" s="1"/>
  <c r="J744" i="10" s="1"/>
  <c r="AE52" i="10"/>
  <c r="AE67" i="10" s="1"/>
  <c r="J762" i="10" s="1"/>
  <c r="AA52" i="10"/>
  <c r="AA67" i="10" s="1"/>
  <c r="J758" i="10" s="1"/>
  <c r="E804" i="10"/>
  <c r="E757" i="10"/>
  <c r="E766" i="10"/>
  <c r="E790" i="10"/>
  <c r="BG71" i="10"/>
  <c r="E791" i="10"/>
  <c r="E768" i="10"/>
  <c r="AK71" i="10"/>
  <c r="E753" i="10"/>
  <c r="E738" i="10"/>
  <c r="G71" i="10"/>
  <c r="E786" i="10"/>
  <c r="BC71" i="10"/>
  <c r="E787" i="10"/>
  <c r="E794" i="10"/>
  <c r="BK71" i="10"/>
  <c r="F52" i="10"/>
  <c r="F67" i="10" s="1"/>
  <c r="J737" i="10" s="1"/>
  <c r="N52" i="10"/>
  <c r="N67" i="10" s="1"/>
  <c r="J745" i="10" s="1"/>
  <c r="BP52" i="10"/>
  <c r="BP67" i="10" s="1"/>
  <c r="J799" i="10" s="1"/>
  <c r="Z52" i="10"/>
  <c r="Z67" i="10" s="1"/>
  <c r="J757" i="10" s="1"/>
  <c r="BH52" i="10"/>
  <c r="BH67" i="10" s="1"/>
  <c r="J791" i="10" s="1"/>
  <c r="R52" i="10"/>
  <c r="R67" i="10" s="1"/>
  <c r="J749" i="10" s="1"/>
  <c r="AD52" i="10"/>
  <c r="AD67" i="10" s="1"/>
  <c r="J761" i="10" s="1"/>
  <c r="D52" i="10"/>
  <c r="D67" i="10" s="1"/>
  <c r="J735" i="10" s="1"/>
  <c r="V52" i="10"/>
  <c r="V67" i="10" s="1"/>
  <c r="J753" i="10" s="1"/>
  <c r="AM52" i="10"/>
  <c r="AM67" i="10" s="1"/>
  <c r="J770" i="10" s="1"/>
  <c r="AI52" i="10"/>
  <c r="AI67" i="10" s="1"/>
  <c r="J766" i="10" s="1"/>
  <c r="E740" i="10"/>
  <c r="I71" i="10"/>
  <c r="E765" i="10"/>
  <c r="E782" i="10"/>
  <c r="AY71" i="10"/>
  <c r="E735" i="10"/>
  <c r="D71" i="10"/>
  <c r="E799" i="10"/>
  <c r="BP71" i="10"/>
  <c r="E784" i="10"/>
  <c r="BA71" i="10"/>
  <c r="E761" i="10"/>
  <c r="AD71" i="10"/>
  <c r="E754" i="10"/>
  <c r="W71" i="10"/>
  <c r="E802" i="10"/>
  <c r="BS71" i="10"/>
  <c r="E795" i="10"/>
  <c r="BL71" i="10"/>
  <c r="E806" i="10"/>
  <c r="E811" i="10"/>
  <c r="CB71" i="10"/>
  <c r="BE52" i="10"/>
  <c r="BE67" i="10" s="1"/>
  <c r="J788" i="10" s="1"/>
  <c r="AH52" i="10"/>
  <c r="AH67" i="10" s="1"/>
  <c r="J765" i="10" s="1"/>
  <c r="BZ52" i="10"/>
  <c r="BZ67" i="10" s="1"/>
  <c r="J809" i="10" s="1"/>
  <c r="AV52" i="10"/>
  <c r="AV67" i="10" s="1"/>
  <c r="J779" i="10" s="1"/>
  <c r="BR52" i="10"/>
  <c r="BR67" i="10" s="1"/>
  <c r="J801" i="10" s="1"/>
  <c r="AC52" i="10"/>
  <c r="AC67" i="10" s="1"/>
  <c r="J760" i="10" s="1"/>
  <c r="AO52" i="10"/>
  <c r="AO67" i="10" s="1"/>
  <c r="J772" i="10" s="1"/>
  <c r="U52" i="10"/>
  <c r="U67" i="10" s="1"/>
  <c r="J752" i="10" s="1"/>
  <c r="AG52" i="10"/>
  <c r="AG67" i="10" s="1"/>
  <c r="J764" i="10" s="1"/>
  <c r="AU52" i="10"/>
  <c r="AU67" i="10" s="1"/>
  <c r="J778" i="10" s="1"/>
  <c r="E764" i="10"/>
  <c r="E773" i="10"/>
  <c r="AP71" i="10"/>
  <c r="E798" i="10"/>
  <c r="E743" i="10"/>
  <c r="E807" i="10"/>
  <c r="BX71" i="10"/>
  <c r="E792" i="10"/>
  <c r="E769" i="10"/>
  <c r="AL71" i="10"/>
  <c r="E770" i="10"/>
  <c r="AM71" i="10"/>
  <c r="E739" i="10"/>
  <c r="H71" i="10"/>
  <c r="E803" i="10"/>
  <c r="AV71" i="10" l="1"/>
  <c r="BM71" i="10"/>
  <c r="Z71" i="10"/>
  <c r="CA71" i="10"/>
  <c r="BW71" i="10"/>
  <c r="BE71" i="10"/>
  <c r="BB71" i="10"/>
  <c r="BO71" i="10"/>
  <c r="C560" i="10" s="1"/>
  <c r="BD71" i="10"/>
  <c r="AC71" i="10"/>
  <c r="CC71" i="10"/>
  <c r="BI71" i="10"/>
  <c r="C624" i="10"/>
  <c r="C549" i="10"/>
  <c r="C709" i="10"/>
  <c r="C537" i="10"/>
  <c r="C710" i="10"/>
  <c r="C538" i="10"/>
  <c r="G538" i="10" s="1"/>
  <c r="L71" i="10"/>
  <c r="C621" i="10"/>
  <c r="C561" i="10"/>
  <c r="C638" i="10"/>
  <c r="C558" i="10"/>
  <c r="C548" i="10"/>
  <c r="C633" i="10"/>
  <c r="BH71" i="10"/>
  <c r="BU71" i="10"/>
  <c r="C711" i="10"/>
  <c r="C539" i="10"/>
  <c r="G539" i="10" s="1"/>
  <c r="BR71" i="10"/>
  <c r="AA71" i="10"/>
  <c r="C697" i="10"/>
  <c r="C525" i="10"/>
  <c r="G525" i="10" s="1"/>
  <c r="C701" i="10"/>
  <c r="C529" i="10"/>
  <c r="C682" i="10"/>
  <c r="C510" i="10"/>
  <c r="G510" i="10" s="1"/>
  <c r="C547" i="10"/>
  <c r="C632" i="10"/>
  <c r="C702" i="10"/>
  <c r="C530" i="10"/>
  <c r="C696" i="10"/>
  <c r="C524" i="10"/>
  <c r="C572" i="10"/>
  <c r="C647" i="10"/>
  <c r="C694" i="10"/>
  <c r="C522" i="10"/>
  <c r="C703" i="10"/>
  <c r="C531" i="10"/>
  <c r="G531" i="10" s="1"/>
  <c r="C622" i="10"/>
  <c r="C573" i="10"/>
  <c r="C688" i="10"/>
  <c r="C516" i="10"/>
  <c r="C669" i="10"/>
  <c r="C497" i="10"/>
  <c r="G497" i="10" s="1"/>
  <c r="AU71" i="10"/>
  <c r="C628" i="10"/>
  <c r="C545" i="10"/>
  <c r="G545" i="10" s="1"/>
  <c r="C690" i="10"/>
  <c r="C518" i="10"/>
  <c r="E734" i="10"/>
  <c r="E815" i="10" s="1"/>
  <c r="CE62" i="10"/>
  <c r="C71" i="10"/>
  <c r="C614" i="10"/>
  <c r="C550" i="10"/>
  <c r="C704" i="10"/>
  <c r="C532" i="10"/>
  <c r="G532" i="10" s="1"/>
  <c r="C502" i="10"/>
  <c r="G502" i="10" s="1"/>
  <c r="C674" i="10"/>
  <c r="C672" i="10"/>
  <c r="C500" i="10"/>
  <c r="G500" i="10" s="1"/>
  <c r="C552" i="10"/>
  <c r="C618" i="10"/>
  <c r="C543" i="10"/>
  <c r="C616" i="10"/>
  <c r="F71" i="10"/>
  <c r="C567" i="10"/>
  <c r="C642" i="10"/>
  <c r="C680" i="10"/>
  <c r="C508" i="10"/>
  <c r="G508" i="10" s="1"/>
  <c r="S71" i="10"/>
  <c r="T71" i="10"/>
  <c r="BY71" i="10"/>
  <c r="C551" i="10"/>
  <c r="C629" i="10"/>
  <c r="C691" i="10"/>
  <c r="C519" i="10"/>
  <c r="G519" i="10" s="1"/>
  <c r="C620" i="10"/>
  <c r="C574" i="10"/>
  <c r="C564" i="10"/>
  <c r="C639" i="10"/>
  <c r="BT71" i="10"/>
  <c r="C634" i="10"/>
  <c r="C554" i="10"/>
  <c r="C535" i="10"/>
  <c r="G535" i="10" s="1"/>
  <c r="C707" i="10"/>
  <c r="C568" i="10"/>
  <c r="C643" i="10"/>
  <c r="C695" i="10"/>
  <c r="C523" i="10"/>
  <c r="G523" i="10" s="1"/>
  <c r="C625" i="10"/>
  <c r="C544" i="10"/>
  <c r="C681" i="10"/>
  <c r="C509" i="10"/>
  <c r="BZ71" i="10"/>
  <c r="C708" i="10"/>
  <c r="C536" i="10"/>
  <c r="G536" i="10" s="1"/>
  <c r="C713" i="10"/>
  <c r="C541" i="10"/>
  <c r="C556" i="10"/>
  <c r="C635" i="10"/>
  <c r="V71" i="10"/>
  <c r="AI71" i="10"/>
  <c r="C705" i="10"/>
  <c r="C533" i="10"/>
  <c r="G533" i="10" s="1"/>
  <c r="M71" i="10"/>
  <c r="J71" i="10"/>
  <c r="CE52" i="10"/>
  <c r="C555" i="10"/>
  <c r="C617" i="10"/>
  <c r="C559" i="10"/>
  <c r="C619" i="10"/>
  <c r="C689" i="10"/>
  <c r="C517" i="10"/>
  <c r="U71" i="10"/>
  <c r="AW71" i="10"/>
  <c r="C623" i="10"/>
  <c r="C562" i="10"/>
  <c r="R71" i="10"/>
  <c r="C673" i="10"/>
  <c r="C501" i="10"/>
  <c r="G501" i="10" s="1"/>
  <c r="C644" i="10"/>
  <c r="C569" i="10"/>
  <c r="AG71" i="10"/>
  <c r="C637" i="10"/>
  <c r="C557" i="10"/>
  <c r="C546" i="10"/>
  <c r="G546" i="10" s="1"/>
  <c r="C630" i="10"/>
  <c r="AH71" i="10"/>
  <c r="AO71" i="10"/>
  <c r="N71" i="10"/>
  <c r="K71" i="10"/>
  <c r="J734" i="10"/>
  <c r="J815" i="10" s="1"/>
  <c r="CE67" i="10"/>
  <c r="E71" i="10"/>
  <c r="C693" i="10"/>
  <c r="C521" i="10"/>
  <c r="C627" i="10" l="1"/>
  <c r="C684" i="10"/>
  <c r="C512" i="10"/>
  <c r="G512" i="10" s="1"/>
  <c r="G524" i="10"/>
  <c r="H524" i="10" s="1"/>
  <c r="G509" i="10"/>
  <c r="H509" i="10" s="1"/>
  <c r="C706" i="10"/>
  <c r="C534" i="10"/>
  <c r="G534" i="10" s="1"/>
  <c r="G517" i="10"/>
  <c r="H517" i="10"/>
  <c r="C671" i="10"/>
  <c r="C499" i="10"/>
  <c r="G499" i="10" s="1"/>
  <c r="C685" i="10"/>
  <c r="C513" i="10"/>
  <c r="G513" i="10" s="1"/>
  <c r="C571" i="10"/>
  <c r="C646" i="10"/>
  <c r="C641" i="10"/>
  <c r="C566" i="10"/>
  <c r="D615" i="10"/>
  <c r="C636" i="10"/>
  <c r="C553" i="10"/>
  <c r="C668" i="10"/>
  <c r="C496" i="10"/>
  <c r="G496" i="10" s="1"/>
  <c r="G530" i="10"/>
  <c r="H530" i="10"/>
  <c r="C505" i="10"/>
  <c r="G505" i="10" s="1"/>
  <c r="C677" i="10"/>
  <c r="C687" i="10"/>
  <c r="C515" i="10"/>
  <c r="G515" i="10" s="1"/>
  <c r="C540" i="10"/>
  <c r="G540" i="10" s="1"/>
  <c r="C712" i="10"/>
  <c r="C676" i="10"/>
  <c r="C504" i="10"/>
  <c r="G504" i="10" s="1"/>
  <c r="C698" i="10"/>
  <c r="C526" i="10"/>
  <c r="C542" i="10"/>
  <c r="C631" i="10"/>
  <c r="G544" i="10"/>
  <c r="H544" i="10" s="1"/>
  <c r="E816" i="10"/>
  <c r="C428" i="10"/>
  <c r="CE71" i="10"/>
  <c r="C716" i="10" s="1"/>
  <c r="G537" i="10"/>
  <c r="H537" i="10"/>
  <c r="C670" i="10"/>
  <c r="C498" i="10"/>
  <c r="G550" i="10"/>
  <c r="H550" i="10" s="1"/>
  <c r="J816" i="10"/>
  <c r="C433" i="10"/>
  <c r="C507" i="10"/>
  <c r="C679" i="10"/>
  <c r="C686" i="10"/>
  <c r="C514" i="10"/>
  <c r="C503" i="10"/>
  <c r="G503" i="10" s="1"/>
  <c r="C675" i="10"/>
  <c r="G516" i="10"/>
  <c r="H516" i="10"/>
  <c r="G522" i="10"/>
  <c r="H522" i="10" s="1"/>
  <c r="C692" i="10"/>
  <c r="C520" i="10"/>
  <c r="G520" i="10" s="1"/>
  <c r="C683" i="10"/>
  <c r="C511" i="10"/>
  <c r="C678" i="10"/>
  <c r="C506" i="10"/>
  <c r="C640" i="10"/>
  <c r="C565" i="10"/>
  <c r="G518" i="10"/>
  <c r="H518" i="10" s="1"/>
  <c r="C563" i="10"/>
  <c r="C626" i="10"/>
  <c r="C528" i="10"/>
  <c r="G528" i="10" s="1"/>
  <c r="C700" i="10"/>
  <c r="G529" i="10"/>
  <c r="H529" i="10" s="1"/>
  <c r="G521" i="10"/>
  <c r="H521" i="10"/>
  <c r="C699" i="10"/>
  <c r="C527" i="10"/>
  <c r="G527" i="10" s="1"/>
  <c r="C645" i="10"/>
  <c r="C570" i="10"/>
  <c r="C648" i="10" l="1"/>
  <c r="M716" i="10" s="1"/>
  <c r="Y816" i="10" s="1"/>
  <c r="G507" i="10"/>
  <c r="H507" i="10"/>
  <c r="G526" i="10"/>
  <c r="H526" i="10"/>
  <c r="G511" i="10"/>
  <c r="H511" i="10"/>
  <c r="D706" i="10"/>
  <c r="D698" i="10"/>
  <c r="D708" i="10"/>
  <c r="D700" i="10"/>
  <c r="D710" i="10"/>
  <c r="D702" i="10"/>
  <c r="D694" i="10"/>
  <c r="D703" i="10"/>
  <c r="D689" i="10"/>
  <c r="D681" i="10"/>
  <c r="D673" i="10"/>
  <c r="D711" i="10"/>
  <c r="D704" i="10"/>
  <c r="D707" i="10"/>
  <c r="D685" i="10"/>
  <c r="D677" i="10"/>
  <c r="D669" i="10"/>
  <c r="D695" i="10"/>
  <c r="D690" i="10"/>
  <c r="D644" i="10"/>
  <c r="D640" i="10"/>
  <c r="D636" i="10"/>
  <c r="D628" i="10"/>
  <c r="D622" i="10"/>
  <c r="D618" i="10"/>
  <c r="D716" i="10"/>
  <c r="D699" i="10"/>
  <c r="D691" i="10"/>
  <c r="D688" i="10"/>
  <c r="D687" i="10"/>
  <c r="D686" i="10"/>
  <c r="D645" i="10"/>
  <c r="D713" i="10"/>
  <c r="D696" i="10"/>
  <c r="D684" i="10"/>
  <c r="D683" i="10"/>
  <c r="D682" i="10"/>
  <c r="D641" i="10"/>
  <c r="D637" i="10"/>
  <c r="D629" i="10"/>
  <c r="D626" i="10"/>
  <c r="D621" i="10"/>
  <c r="D617" i="10"/>
  <c r="D692" i="10"/>
  <c r="D680" i="10"/>
  <c r="D679" i="10"/>
  <c r="D678" i="10"/>
  <c r="D646" i="10"/>
  <c r="D633" i="10"/>
  <c r="D632" i="10"/>
  <c r="D631" i="10"/>
  <c r="D630" i="10"/>
  <c r="D624" i="10"/>
  <c r="D712" i="10"/>
  <c r="D668" i="10"/>
  <c r="D643" i="10"/>
  <c r="D639" i="10"/>
  <c r="D635" i="10"/>
  <c r="D623" i="10"/>
  <c r="D619" i="10"/>
  <c r="D676" i="10"/>
  <c r="D671" i="10"/>
  <c r="D638" i="10"/>
  <c r="D625" i="10"/>
  <c r="D634" i="10"/>
  <c r="D675" i="10"/>
  <c r="D670" i="10"/>
  <c r="D697" i="10"/>
  <c r="D647" i="10"/>
  <c r="D627" i="10"/>
  <c r="D620" i="10"/>
  <c r="D705" i="10"/>
  <c r="D701" i="10"/>
  <c r="D672" i="10"/>
  <c r="D693" i="10"/>
  <c r="D674" i="10"/>
  <c r="D616" i="10"/>
  <c r="D642" i="10"/>
  <c r="D709" i="10"/>
  <c r="C441" i="10"/>
  <c r="C715" i="10"/>
  <c r="G506" i="10"/>
  <c r="H506" i="10" s="1"/>
  <c r="G514" i="10"/>
  <c r="H514" i="10" s="1"/>
  <c r="G498" i="10"/>
  <c r="H498" i="10" s="1"/>
  <c r="D715" i="10" l="1"/>
  <c r="E623" i="10"/>
  <c r="E612" i="10"/>
  <c r="E711" i="10" l="1"/>
  <c r="E703" i="10"/>
  <c r="E695" i="10"/>
  <c r="E713" i="10"/>
  <c r="E705" i="10"/>
  <c r="E716" i="10"/>
  <c r="E707" i="10"/>
  <c r="E699" i="10"/>
  <c r="E691" i="10"/>
  <c r="E704" i="10"/>
  <c r="E686" i="10"/>
  <c r="E678" i="10"/>
  <c r="E670" i="10"/>
  <c r="E647" i="10"/>
  <c r="E646" i="10"/>
  <c r="E645" i="10"/>
  <c r="E712" i="10"/>
  <c r="E700" i="10"/>
  <c r="E690" i="10"/>
  <c r="E682" i="10"/>
  <c r="E674" i="10"/>
  <c r="E706" i="10"/>
  <c r="E689" i="10"/>
  <c r="E688" i="10"/>
  <c r="E687" i="10"/>
  <c r="E702" i="10"/>
  <c r="E696" i="10"/>
  <c r="E685" i="10"/>
  <c r="E684" i="10"/>
  <c r="E683" i="10"/>
  <c r="E641" i="10"/>
  <c r="E637" i="10"/>
  <c r="E629" i="10"/>
  <c r="E626" i="10"/>
  <c r="E692" i="10"/>
  <c r="E681" i="10"/>
  <c r="E680" i="10"/>
  <c r="E679" i="10"/>
  <c r="E633" i="10"/>
  <c r="E632" i="10"/>
  <c r="E631" i="10"/>
  <c r="E630" i="10"/>
  <c r="E624" i="10"/>
  <c r="E709" i="10"/>
  <c r="E697" i="10"/>
  <c r="E677" i="10"/>
  <c r="E676" i="10"/>
  <c r="E675" i="10"/>
  <c r="E642" i="10"/>
  <c r="E638" i="10"/>
  <c r="E634" i="10"/>
  <c r="E701" i="10"/>
  <c r="E698" i="10"/>
  <c r="E694" i="10"/>
  <c r="E625" i="10"/>
  <c r="E708" i="10"/>
  <c r="E673" i="10"/>
  <c r="E668" i="10"/>
  <c r="E628" i="10"/>
  <c r="E644" i="10"/>
  <c r="E627" i="10"/>
  <c r="E672" i="10"/>
  <c r="E640" i="10"/>
  <c r="E693" i="10"/>
  <c r="E643" i="10"/>
  <c r="E636" i="10"/>
  <c r="E710" i="10"/>
  <c r="E669" i="10"/>
  <c r="E639" i="10"/>
  <c r="E671" i="10"/>
  <c r="E635" i="10"/>
  <c r="E715" i="10" l="1"/>
  <c r="F624" i="10"/>
  <c r="F708" i="10" l="1"/>
  <c r="F700" i="10"/>
  <c r="F692" i="10"/>
  <c r="F710" i="10"/>
  <c r="F702" i="10"/>
  <c r="F712" i="10"/>
  <c r="F704" i="10"/>
  <c r="F696" i="10"/>
  <c r="F711" i="10"/>
  <c r="F697" i="10"/>
  <c r="F683" i="10"/>
  <c r="F675" i="10"/>
  <c r="F644" i="10"/>
  <c r="F643" i="10"/>
  <c r="F642" i="10"/>
  <c r="F641" i="10"/>
  <c r="F640" i="10"/>
  <c r="F639" i="10"/>
  <c r="F638" i="10"/>
  <c r="F637" i="10"/>
  <c r="F636" i="10"/>
  <c r="F635" i="10"/>
  <c r="F634" i="10"/>
  <c r="F705" i="10"/>
  <c r="F716" i="10"/>
  <c r="F701" i="10"/>
  <c r="F687" i="10"/>
  <c r="F679" i="10"/>
  <c r="F671" i="10"/>
  <c r="F699" i="10"/>
  <c r="F691" i="10"/>
  <c r="F686" i="10"/>
  <c r="F685" i="10"/>
  <c r="F684" i="10"/>
  <c r="F645" i="10"/>
  <c r="F629" i="10"/>
  <c r="F626" i="10"/>
  <c r="F713" i="10"/>
  <c r="F682" i="10"/>
  <c r="F681" i="10"/>
  <c r="F680" i="10"/>
  <c r="F633" i="10"/>
  <c r="F632" i="10"/>
  <c r="F631" i="10"/>
  <c r="F630" i="10"/>
  <c r="F709" i="10"/>
  <c r="F678" i="10"/>
  <c r="F677" i="10"/>
  <c r="F676" i="10"/>
  <c r="F646" i="10"/>
  <c r="F707" i="10"/>
  <c r="F693" i="10"/>
  <c r="F674" i="10"/>
  <c r="F673" i="10"/>
  <c r="F672" i="10"/>
  <c r="F627" i="10"/>
  <c r="F628" i="10"/>
  <c r="F689" i="10"/>
  <c r="F668" i="10"/>
  <c r="F703" i="10"/>
  <c r="F695" i="10"/>
  <c r="F698" i="10"/>
  <c r="F670" i="10"/>
  <c r="F694" i="10"/>
  <c r="F688" i="10"/>
  <c r="F647" i="10"/>
  <c r="F706" i="10"/>
  <c r="F690" i="10"/>
  <c r="F669" i="10"/>
  <c r="F625" i="10"/>
  <c r="F715" i="10" l="1"/>
  <c r="G625" i="10"/>
  <c r="G713" i="10" l="1"/>
  <c r="G705" i="10"/>
  <c r="G697" i="10"/>
  <c r="G716" i="10"/>
  <c r="G707" i="10"/>
  <c r="G699" i="10"/>
  <c r="G709" i="10"/>
  <c r="G701" i="10"/>
  <c r="G693" i="10"/>
  <c r="G712" i="10"/>
  <c r="G698" i="10"/>
  <c r="G696" i="10"/>
  <c r="G695" i="10"/>
  <c r="G694" i="10"/>
  <c r="G688" i="10"/>
  <c r="G680" i="10"/>
  <c r="G672" i="10"/>
  <c r="G706" i="10"/>
  <c r="G708" i="10"/>
  <c r="G684" i="10"/>
  <c r="G676" i="10"/>
  <c r="G668" i="10"/>
  <c r="G704" i="10"/>
  <c r="G702" i="10"/>
  <c r="G683" i="10"/>
  <c r="G682" i="10"/>
  <c r="G681" i="10"/>
  <c r="G641" i="10"/>
  <c r="G637" i="10"/>
  <c r="G633" i="10"/>
  <c r="G632" i="10"/>
  <c r="G631" i="10"/>
  <c r="G630" i="10"/>
  <c r="G692" i="10"/>
  <c r="G679" i="10"/>
  <c r="G678" i="10"/>
  <c r="G677" i="10"/>
  <c r="G646" i="10"/>
  <c r="G711" i="10"/>
  <c r="G675" i="10"/>
  <c r="G674" i="10"/>
  <c r="G673" i="10"/>
  <c r="G642" i="10"/>
  <c r="G638" i="10"/>
  <c r="G634" i="10"/>
  <c r="G627" i="10"/>
  <c r="G700" i="10"/>
  <c r="G671" i="10"/>
  <c r="G670" i="10"/>
  <c r="G669" i="10"/>
  <c r="G647" i="10"/>
  <c r="G710" i="10"/>
  <c r="G690" i="10"/>
  <c r="G689" i="10"/>
  <c r="G644" i="10"/>
  <c r="G640" i="10"/>
  <c r="G636" i="10"/>
  <c r="G703" i="10"/>
  <c r="G645" i="10"/>
  <c r="G686" i="10"/>
  <c r="G628" i="10"/>
  <c r="G691" i="10"/>
  <c r="G685" i="10"/>
  <c r="G643" i="10"/>
  <c r="G639" i="10"/>
  <c r="G626" i="10"/>
  <c r="G687" i="10"/>
  <c r="G635" i="10"/>
  <c r="G629" i="10"/>
  <c r="H628" i="10" l="1"/>
  <c r="G715" i="10"/>
  <c r="H710" i="10" l="1"/>
  <c r="H702" i="10"/>
  <c r="H694" i="10"/>
  <c r="H712" i="10"/>
  <c r="H704" i="10"/>
  <c r="H706" i="10"/>
  <c r="H698" i="10"/>
  <c r="H705" i="10"/>
  <c r="H693" i="10"/>
  <c r="H692" i="10"/>
  <c r="H691" i="10"/>
  <c r="H685" i="10"/>
  <c r="H677" i="10"/>
  <c r="H669" i="10"/>
  <c r="H713" i="10"/>
  <c r="H709" i="10"/>
  <c r="H689" i="10"/>
  <c r="H681" i="10"/>
  <c r="H673" i="10"/>
  <c r="H716" i="10"/>
  <c r="H696" i="10"/>
  <c r="H680" i="10"/>
  <c r="H679" i="10"/>
  <c r="H678" i="10"/>
  <c r="H646" i="10"/>
  <c r="H711" i="10"/>
  <c r="H676" i="10"/>
  <c r="H675" i="10"/>
  <c r="H674" i="10"/>
  <c r="H642" i="10"/>
  <c r="H638" i="10"/>
  <c r="H634" i="10"/>
  <c r="H707" i="10"/>
  <c r="H700" i="10"/>
  <c r="H697" i="10"/>
  <c r="H672" i="10"/>
  <c r="H671" i="10"/>
  <c r="H670" i="10"/>
  <c r="H647" i="10"/>
  <c r="H703" i="10"/>
  <c r="H668" i="10"/>
  <c r="H643" i="10"/>
  <c r="H639" i="10"/>
  <c r="H635" i="10"/>
  <c r="H708" i="10"/>
  <c r="H695" i="10"/>
  <c r="H688" i="10"/>
  <c r="H687" i="10"/>
  <c r="H686" i="10"/>
  <c r="H645" i="10"/>
  <c r="H629" i="10"/>
  <c r="H699" i="10"/>
  <c r="H641" i="10"/>
  <c r="H631" i="10"/>
  <c r="H683" i="10"/>
  <c r="H644" i="10"/>
  <c r="H637" i="10"/>
  <c r="H640" i="10"/>
  <c r="H633" i="10"/>
  <c r="H701" i="10"/>
  <c r="H690" i="10"/>
  <c r="H636" i="10"/>
  <c r="H630" i="10"/>
  <c r="H682" i="10"/>
  <c r="H632" i="10"/>
  <c r="H684" i="10"/>
  <c r="H715" i="10" l="1"/>
  <c r="I629" i="10"/>
  <c r="I716" i="10" l="1"/>
  <c r="I707" i="10"/>
  <c r="I699" i="10"/>
  <c r="I691" i="10"/>
  <c r="I709" i="10"/>
  <c r="I701" i="10"/>
  <c r="I711" i="10"/>
  <c r="I703" i="10"/>
  <c r="I695" i="10"/>
  <c r="I713" i="10"/>
  <c r="I706" i="10"/>
  <c r="I690" i="10"/>
  <c r="I682" i="10"/>
  <c r="I674" i="10"/>
  <c r="I702" i="10"/>
  <c r="I686" i="10"/>
  <c r="I678" i="10"/>
  <c r="I670" i="10"/>
  <c r="I647" i="10"/>
  <c r="I646" i="10"/>
  <c r="I645" i="10"/>
  <c r="I692" i="10"/>
  <c r="I677" i="10"/>
  <c r="I676" i="10"/>
  <c r="I675" i="10"/>
  <c r="I642" i="10"/>
  <c r="I638" i="10"/>
  <c r="I634" i="10"/>
  <c r="I700" i="10"/>
  <c r="I697" i="10"/>
  <c r="I673" i="10"/>
  <c r="I672" i="10"/>
  <c r="I671" i="10"/>
  <c r="I693" i="10"/>
  <c r="I669" i="10"/>
  <c r="I668" i="10"/>
  <c r="I643" i="10"/>
  <c r="I639" i="10"/>
  <c r="I635" i="10"/>
  <c r="I705" i="10"/>
  <c r="I685" i="10"/>
  <c r="I684" i="10"/>
  <c r="I683" i="10"/>
  <c r="I641" i="10"/>
  <c r="I637" i="10"/>
  <c r="I633" i="10"/>
  <c r="I632" i="10"/>
  <c r="I631" i="10"/>
  <c r="I630" i="10"/>
  <c r="I708" i="10"/>
  <c r="I681" i="10"/>
  <c r="I698" i="10"/>
  <c r="I644" i="10"/>
  <c r="I712" i="10"/>
  <c r="I694" i="10"/>
  <c r="I688" i="10"/>
  <c r="I640" i="10"/>
  <c r="I680" i="10"/>
  <c r="I636" i="10"/>
  <c r="I710" i="10"/>
  <c r="I687" i="10"/>
  <c r="I696" i="10"/>
  <c r="I679" i="10"/>
  <c r="I689" i="10"/>
  <c r="I704" i="10"/>
  <c r="I715" i="10" l="1"/>
  <c r="J630" i="10"/>
  <c r="J712" i="10" l="1"/>
  <c r="J704" i="10"/>
  <c r="J696" i="10"/>
  <c r="J706" i="10"/>
  <c r="J698" i="10"/>
  <c r="J708" i="10"/>
  <c r="J700" i="10"/>
  <c r="J692" i="10"/>
  <c r="J699" i="10"/>
  <c r="J687" i="10"/>
  <c r="J679" i="10"/>
  <c r="J671" i="10"/>
  <c r="J707" i="10"/>
  <c r="J710" i="10"/>
  <c r="J703" i="10"/>
  <c r="J683" i="10"/>
  <c r="J675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713" i="10"/>
  <c r="J711" i="10"/>
  <c r="J697" i="10"/>
  <c r="J674" i="10"/>
  <c r="J673" i="10"/>
  <c r="J672" i="10"/>
  <c r="J709" i="10"/>
  <c r="J693" i="10"/>
  <c r="J670" i="10"/>
  <c r="J669" i="10"/>
  <c r="J668" i="10"/>
  <c r="J647" i="10"/>
  <c r="J705" i="10"/>
  <c r="J694" i="10"/>
  <c r="J691" i="10"/>
  <c r="J682" i="10"/>
  <c r="J681" i="10"/>
  <c r="J680" i="10"/>
  <c r="J695" i="10"/>
  <c r="J686" i="10"/>
  <c r="J631" i="10"/>
  <c r="J688" i="10"/>
  <c r="J678" i="10"/>
  <c r="J702" i="10"/>
  <c r="J701" i="10"/>
  <c r="J690" i="10"/>
  <c r="J685" i="10"/>
  <c r="J677" i="10"/>
  <c r="J716" i="10"/>
  <c r="J646" i="10"/>
  <c r="J632" i="10"/>
  <c r="J689" i="10"/>
  <c r="J684" i="10"/>
  <c r="J645" i="10"/>
  <c r="J676" i="10"/>
  <c r="J715" i="10" l="1"/>
  <c r="K644" i="10"/>
  <c r="L647" i="10"/>
  <c r="L706" i="10" l="1"/>
  <c r="L698" i="10"/>
  <c r="L690" i="10"/>
  <c r="L708" i="10"/>
  <c r="L700" i="10"/>
  <c r="L710" i="10"/>
  <c r="L702" i="10"/>
  <c r="L694" i="10"/>
  <c r="M694" i="10" s="1"/>
  <c r="Y760" i="10" s="1"/>
  <c r="L716" i="10"/>
  <c r="L689" i="10"/>
  <c r="L681" i="10"/>
  <c r="L673" i="10"/>
  <c r="L711" i="10"/>
  <c r="L704" i="10"/>
  <c r="L697" i="10"/>
  <c r="L696" i="10"/>
  <c r="M696" i="10" s="1"/>
  <c r="Y762" i="10" s="1"/>
  <c r="L695" i="10"/>
  <c r="L685" i="10"/>
  <c r="L677" i="10"/>
  <c r="L669" i="10"/>
  <c r="L709" i="10"/>
  <c r="L693" i="10"/>
  <c r="M693" i="10" s="1"/>
  <c r="Y759" i="10" s="1"/>
  <c r="L668" i="10"/>
  <c r="L707" i="10"/>
  <c r="L705" i="10"/>
  <c r="L703" i="10"/>
  <c r="L712" i="10"/>
  <c r="L701" i="10"/>
  <c r="L688" i="10"/>
  <c r="L687" i="10"/>
  <c r="L686" i="10"/>
  <c r="L692" i="10"/>
  <c r="M692" i="10" s="1"/>
  <c r="Y758" i="10" s="1"/>
  <c r="L676" i="10"/>
  <c r="L675" i="10"/>
  <c r="L674" i="10"/>
  <c r="L713" i="10"/>
  <c r="L691" i="10"/>
  <c r="L683" i="10"/>
  <c r="M683" i="10" s="1"/>
  <c r="Y749" i="10" s="1"/>
  <c r="L678" i="10"/>
  <c r="L670" i="10"/>
  <c r="M670" i="10" s="1"/>
  <c r="Y736" i="10" s="1"/>
  <c r="L680" i="10"/>
  <c r="L682" i="10"/>
  <c r="L672" i="10"/>
  <c r="M672" i="10" s="1"/>
  <c r="Y738" i="10" s="1"/>
  <c r="L684" i="10"/>
  <c r="L679" i="10"/>
  <c r="L671" i="10"/>
  <c r="M671" i="10" s="1"/>
  <c r="Y737" i="10" s="1"/>
  <c r="L699" i="10"/>
  <c r="K709" i="10"/>
  <c r="K701" i="10"/>
  <c r="K693" i="10"/>
  <c r="K711" i="10"/>
  <c r="K703" i="10"/>
  <c r="K713" i="10"/>
  <c r="K705" i="10"/>
  <c r="K697" i="10"/>
  <c r="K707" i="10"/>
  <c r="K700" i="10"/>
  <c r="K684" i="10"/>
  <c r="K676" i="10"/>
  <c r="K668" i="10"/>
  <c r="K716" i="10"/>
  <c r="K708" i="10"/>
  <c r="K688" i="10"/>
  <c r="K680" i="10"/>
  <c r="K672" i="10"/>
  <c r="K671" i="10"/>
  <c r="K670" i="10"/>
  <c r="K669" i="10"/>
  <c r="K694" i="10"/>
  <c r="K698" i="10"/>
  <c r="K690" i="10"/>
  <c r="K689" i="10"/>
  <c r="K706" i="10"/>
  <c r="K704" i="10"/>
  <c r="K702" i="10"/>
  <c r="K699" i="10"/>
  <c r="K696" i="10"/>
  <c r="K679" i="10"/>
  <c r="K678" i="10"/>
  <c r="K677" i="10"/>
  <c r="K673" i="10"/>
  <c r="K712" i="10"/>
  <c r="K691" i="10"/>
  <c r="K683" i="10"/>
  <c r="K685" i="10"/>
  <c r="K675" i="10"/>
  <c r="K710" i="10"/>
  <c r="K687" i="10"/>
  <c r="K682" i="10"/>
  <c r="K674" i="10"/>
  <c r="K692" i="10"/>
  <c r="K686" i="10"/>
  <c r="K681" i="10"/>
  <c r="K695" i="10"/>
  <c r="M699" i="10" l="1"/>
  <c r="Y765" i="10" s="1"/>
  <c r="M686" i="10"/>
  <c r="Y752" i="10" s="1"/>
  <c r="M702" i="10"/>
  <c r="Y768" i="10" s="1"/>
  <c r="M684" i="10"/>
  <c r="Y750" i="10" s="1"/>
  <c r="M678" i="10"/>
  <c r="Y744" i="10" s="1"/>
  <c r="M687" i="10"/>
  <c r="Y753" i="10" s="1"/>
  <c r="M704" i="10"/>
  <c r="Y770" i="10" s="1"/>
  <c r="M710" i="10"/>
  <c r="Y776" i="10" s="1"/>
  <c r="L715" i="10"/>
  <c r="M668" i="10"/>
  <c r="M679" i="10"/>
  <c r="Y745" i="10" s="1"/>
  <c r="M691" i="10"/>
  <c r="Y757" i="10" s="1"/>
  <c r="M688" i="10"/>
  <c r="Y754" i="10" s="1"/>
  <c r="M709" i="10"/>
  <c r="Y775" i="10" s="1"/>
  <c r="M711" i="10"/>
  <c r="Y777" i="10" s="1"/>
  <c r="M700" i="10"/>
  <c r="Y766" i="10" s="1"/>
  <c r="M707" i="10"/>
  <c r="Y773" i="10" s="1"/>
  <c r="M697" i="10"/>
  <c r="Y763" i="10" s="1"/>
  <c r="K715" i="10"/>
  <c r="M713" i="10"/>
  <c r="Y779" i="10" s="1"/>
  <c r="M701" i="10"/>
  <c r="Y767" i="10" s="1"/>
  <c r="M669" i="10"/>
  <c r="Y735" i="10" s="1"/>
  <c r="M673" i="10"/>
  <c r="Y739" i="10" s="1"/>
  <c r="M708" i="10"/>
  <c r="Y774" i="10" s="1"/>
  <c r="M674" i="10"/>
  <c r="Y740" i="10" s="1"/>
  <c r="M712" i="10"/>
  <c r="Y778" i="10" s="1"/>
  <c r="M677" i="10"/>
  <c r="Y743" i="10" s="1"/>
  <c r="M681" i="10"/>
  <c r="Y747" i="10" s="1"/>
  <c r="M690" i="10"/>
  <c r="Y756" i="10" s="1"/>
  <c r="M682" i="10"/>
  <c r="Y748" i="10" s="1"/>
  <c r="M675" i="10"/>
  <c r="Y741" i="10" s="1"/>
  <c r="M703" i="10"/>
  <c r="Y769" i="10" s="1"/>
  <c r="M685" i="10"/>
  <c r="Y751" i="10" s="1"/>
  <c r="M689" i="10"/>
  <c r="Y755" i="10" s="1"/>
  <c r="M698" i="10"/>
  <c r="Y764" i="10" s="1"/>
  <c r="M680" i="10"/>
  <c r="Y746" i="10" s="1"/>
  <c r="M676" i="10"/>
  <c r="Y742" i="10" s="1"/>
  <c r="M705" i="10"/>
  <c r="Y771" i="10" s="1"/>
  <c r="M695" i="10"/>
  <c r="Y761" i="10" s="1"/>
  <c r="M706" i="10"/>
  <c r="Y772" i="10" s="1"/>
  <c r="Y734" i="10" l="1"/>
  <c r="Y815" i="10" s="1"/>
  <c r="M715" i="10"/>
  <c r="F493" i="1" l="1"/>
  <c r="D493" i="1"/>
  <c r="B493" i="1"/>
  <c r="B575" i="1" l="1"/>
  <c r="A493" i="1"/>
  <c r="C115" i="8"/>
  <c r="C444" i="1"/>
  <c r="D367" i="1"/>
  <c r="C448" i="1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CE65" i="1"/>
  <c r="CE63" i="1"/>
  <c r="I365" i="9" s="1"/>
  <c r="CE66" i="1"/>
  <c r="I368" i="9" s="1"/>
  <c r="CE68" i="1"/>
  <c r="I370" i="9" s="1"/>
  <c r="D75" i="1"/>
  <c r="AR75" i="1"/>
  <c r="AS75" i="1"/>
  <c r="AT75" i="1"/>
  <c r="D218" i="9" s="1"/>
  <c r="AU75" i="1"/>
  <c r="E218" i="9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N75" i="1"/>
  <c r="G58" i="9" s="1"/>
  <c r="M75" i="1"/>
  <c r="F58" i="9" s="1"/>
  <c r="L75" i="1"/>
  <c r="E58" i="9" s="1"/>
  <c r="I75" i="1"/>
  <c r="H75" i="1"/>
  <c r="H26" i="9" s="1"/>
  <c r="G75" i="1"/>
  <c r="F75" i="1"/>
  <c r="F26" i="9" s="1"/>
  <c r="AV75" i="1"/>
  <c r="AP75" i="1"/>
  <c r="G186" i="9"/>
  <c r="AJ75" i="1"/>
  <c r="AL75" i="1"/>
  <c r="C186" i="9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C464" i="1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D265" i="1"/>
  <c r="D275" i="1"/>
  <c r="D277" i="1" s="1"/>
  <c r="C35" i="8" s="1"/>
  <c r="D290" i="1"/>
  <c r="D314" i="1"/>
  <c r="D319" i="1"/>
  <c r="C74" i="8" s="1"/>
  <c r="D328" i="1"/>
  <c r="D329" i="1"/>
  <c r="C85" i="8" s="1"/>
  <c r="D229" i="1"/>
  <c r="D13" i="7" s="1"/>
  <c r="D236" i="1"/>
  <c r="D240" i="1"/>
  <c r="E209" i="1"/>
  <c r="E210" i="1"/>
  <c r="E211" i="1"/>
  <c r="F26" i="6" s="1"/>
  <c r="E212" i="1"/>
  <c r="F27" i="6" s="1"/>
  <c r="E213" i="1"/>
  <c r="F28" i="6" s="1"/>
  <c r="E214" i="1"/>
  <c r="F29" i="6" s="1"/>
  <c r="E215" i="1"/>
  <c r="E216" i="1"/>
  <c r="D217" i="1"/>
  <c r="E32" i="6" s="1"/>
  <c r="C217" i="1"/>
  <c r="D32" i="6" s="1"/>
  <c r="E196" i="1"/>
  <c r="C469" i="1" s="1"/>
  <c r="E197" i="1"/>
  <c r="E198" i="1"/>
  <c r="E199" i="1"/>
  <c r="C472" i="1" s="1"/>
  <c r="E200" i="1"/>
  <c r="E201" i="1"/>
  <c r="E202" i="1"/>
  <c r="C474" i="1" s="1"/>
  <c r="E203" i="1"/>
  <c r="F15" i="6" s="1"/>
  <c r="D204" i="1"/>
  <c r="B204" i="1"/>
  <c r="D190" i="1"/>
  <c r="D437" i="1" s="1"/>
  <c r="D186" i="1"/>
  <c r="D181" i="1"/>
  <c r="D177" i="1"/>
  <c r="C20" i="5" s="1"/>
  <c r="E154" i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E141" i="1"/>
  <c r="E140" i="1"/>
  <c r="D10" i="4"/>
  <c r="E139" i="1"/>
  <c r="E127" i="1"/>
  <c r="G34" i="3" s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C470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B447" i="1"/>
  <c r="C446" i="1"/>
  <c r="C445" i="1"/>
  <c r="C431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F30" i="6"/>
  <c r="E30" i="6"/>
  <c r="D30" i="6"/>
  <c r="E29" i="6"/>
  <c r="D29" i="6"/>
  <c r="E28" i="6"/>
  <c r="D28" i="6"/>
  <c r="E27" i="6"/>
  <c r="D27" i="6"/>
  <c r="E26" i="6"/>
  <c r="D26" i="6"/>
  <c r="F25" i="6"/>
  <c r="E25" i="6"/>
  <c r="D25" i="6"/>
  <c r="E24" i="6"/>
  <c r="D24" i="6"/>
  <c r="E16" i="6"/>
  <c r="E15" i="6"/>
  <c r="D15" i="6"/>
  <c r="E14" i="6"/>
  <c r="D14" i="6"/>
  <c r="F13" i="6"/>
  <c r="E13" i="6"/>
  <c r="D13" i="6"/>
  <c r="E12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436" i="1"/>
  <c r="C34" i="5"/>
  <c r="C16" i="8"/>
  <c r="C473" i="1"/>
  <c r="F12" i="6"/>
  <c r="F8" i="6"/>
  <c r="G122" i="9"/>
  <c r="I26" i="9"/>
  <c r="H58" i="9"/>
  <c r="F90" i="9"/>
  <c r="C218" i="9"/>
  <c r="D366" i="9"/>
  <c r="CE64" i="1"/>
  <c r="F612" i="1" s="1"/>
  <c r="D368" i="9"/>
  <c r="C276" i="9"/>
  <c r="CE70" i="1"/>
  <c r="C458" i="1" s="1"/>
  <c r="CE76" i="1"/>
  <c r="CE77" i="1"/>
  <c r="I29" i="9"/>
  <c r="C95" i="9"/>
  <c r="CE79" i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F28" i="4"/>
  <c r="F24" i="6"/>
  <c r="CD71" i="1"/>
  <c r="E373" i="9" s="1"/>
  <c r="C615" i="1"/>
  <c r="I612" i="1"/>
  <c r="E372" i="9"/>
  <c r="J612" i="1"/>
  <c r="C575" i="1"/>
  <c r="I381" i="9"/>
  <c r="D330" i="1" l="1"/>
  <c r="C86" i="8" s="1"/>
  <c r="D5" i="7"/>
  <c r="D612" i="1"/>
  <c r="CF76" i="1"/>
  <c r="D186" i="9"/>
  <c r="I362" i="9"/>
  <c r="B465" i="1"/>
  <c r="C14" i="5"/>
  <c r="G612" i="1"/>
  <c r="CF77" i="1"/>
  <c r="G28" i="4"/>
  <c r="I90" i="9"/>
  <c r="C427" i="1"/>
  <c r="I380" i="9"/>
  <c r="AJ52" i="1"/>
  <c r="AJ67" i="1" s="1"/>
  <c r="B10" i="4"/>
  <c r="G10" i="4"/>
  <c r="E10" i="4"/>
  <c r="D463" i="1"/>
  <c r="B445" i="1"/>
  <c r="D433" i="1"/>
  <c r="C475" i="1"/>
  <c r="F11" i="6"/>
  <c r="C84" i="8"/>
  <c r="B476" i="1"/>
  <c r="C33" i="8"/>
  <c r="B440" i="1"/>
  <c r="C141" i="8"/>
  <c r="D368" i="1"/>
  <c r="C120" i="8" s="1"/>
  <c r="C112" i="8"/>
  <c r="I377" i="9"/>
  <c r="I186" i="9"/>
  <c r="C429" i="1"/>
  <c r="C434" i="1"/>
  <c r="I372" i="9"/>
  <c r="C440" i="1"/>
  <c r="C432" i="1"/>
  <c r="AQ48" i="1"/>
  <c r="AQ62" i="1" s="1"/>
  <c r="AZ48" i="1"/>
  <c r="AZ62" i="1" s="1"/>
  <c r="C236" i="9" s="1"/>
  <c r="BC48" i="1"/>
  <c r="BC62" i="1" s="1"/>
  <c r="BV48" i="1"/>
  <c r="BV62" i="1" s="1"/>
  <c r="Y48" i="1"/>
  <c r="Y62" i="1" s="1"/>
  <c r="AC48" i="1"/>
  <c r="AC62" i="1" s="1"/>
  <c r="H108" i="9" s="1"/>
  <c r="J48" i="1"/>
  <c r="J62" i="1" s="1"/>
  <c r="C44" i="9" s="1"/>
  <c r="AP48" i="1"/>
  <c r="AP62" i="1" s="1"/>
  <c r="G172" i="9" s="1"/>
  <c r="C430" i="1"/>
  <c r="I366" i="9"/>
  <c r="BK48" i="1"/>
  <c r="BK62" i="1" s="1"/>
  <c r="I363" i="9"/>
  <c r="T48" i="1"/>
  <c r="T62" i="1" s="1"/>
  <c r="H48" i="1"/>
  <c r="H62" i="1" s="1"/>
  <c r="G48" i="1"/>
  <c r="G62" i="1" s="1"/>
  <c r="G12" i="9" s="1"/>
  <c r="O48" i="1"/>
  <c r="O62" i="1" s="1"/>
  <c r="H44" i="9" s="1"/>
  <c r="BI48" i="1"/>
  <c r="BI62" i="1" s="1"/>
  <c r="BQ48" i="1"/>
  <c r="BQ62" i="1" s="1"/>
  <c r="AW48" i="1"/>
  <c r="AW62" i="1" s="1"/>
  <c r="AG48" i="1"/>
  <c r="AG62" i="1" s="1"/>
  <c r="Q48" i="1"/>
  <c r="Q62" i="1" s="1"/>
  <c r="AY48" i="1"/>
  <c r="AY62" i="1" s="1"/>
  <c r="K48" i="1"/>
  <c r="K62" i="1" s="1"/>
  <c r="BY48" i="1"/>
  <c r="BY62" i="1" s="1"/>
  <c r="BT48" i="1"/>
  <c r="BT62" i="1" s="1"/>
  <c r="BJ48" i="1"/>
  <c r="BJ62" i="1" s="1"/>
  <c r="BD48" i="1"/>
  <c r="BD62" i="1" s="1"/>
  <c r="AT48" i="1"/>
  <c r="AT62" i="1" s="1"/>
  <c r="AN48" i="1"/>
  <c r="AN62" i="1" s="1"/>
  <c r="AD48" i="1"/>
  <c r="AD62" i="1" s="1"/>
  <c r="R48" i="1"/>
  <c r="R62" i="1" s="1"/>
  <c r="W48" i="1"/>
  <c r="W62" i="1" s="1"/>
  <c r="AB48" i="1"/>
  <c r="AB62" i="1" s="1"/>
  <c r="D48" i="1"/>
  <c r="D62" i="1" s="1"/>
  <c r="BS48" i="1"/>
  <c r="BS62" i="1" s="1"/>
  <c r="BA48" i="1"/>
  <c r="BA62" i="1" s="1"/>
  <c r="U48" i="1"/>
  <c r="U62" i="1" s="1"/>
  <c r="BU48" i="1"/>
  <c r="BU62" i="1" s="1"/>
  <c r="BE48" i="1"/>
  <c r="BE62" i="1" s="1"/>
  <c r="AO48" i="1"/>
  <c r="AO62" i="1" s="1"/>
  <c r="CC48" i="1"/>
  <c r="CC62" i="1" s="1"/>
  <c r="BO48" i="1"/>
  <c r="BO62" i="1" s="1"/>
  <c r="AA48" i="1"/>
  <c r="AA62" i="1" s="1"/>
  <c r="F108" i="9" s="1"/>
  <c r="C48" i="1"/>
  <c r="BX48" i="1"/>
  <c r="BX62" i="1" s="1"/>
  <c r="BN48" i="1"/>
  <c r="BN62" i="1" s="1"/>
  <c r="C300" i="9" s="1"/>
  <c r="BH48" i="1"/>
  <c r="BH62" i="1" s="1"/>
  <c r="AX48" i="1"/>
  <c r="AX62" i="1" s="1"/>
  <c r="AR48" i="1"/>
  <c r="AR62" i="1" s="1"/>
  <c r="AH48" i="1"/>
  <c r="AH62" i="1" s="1"/>
  <c r="Z48" i="1"/>
  <c r="Z62" i="1" s="1"/>
  <c r="F48" i="1"/>
  <c r="F62" i="1" s="1"/>
  <c r="F12" i="9" s="1"/>
  <c r="N48" i="1"/>
  <c r="N62" i="1" s="1"/>
  <c r="G44" i="9" s="1"/>
  <c r="AF48" i="1"/>
  <c r="AF62" i="1" s="1"/>
  <c r="BB48" i="1"/>
  <c r="BB62" i="1" s="1"/>
  <c r="BL48" i="1"/>
  <c r="BL62" i="1" s="1"/>
  <c r="CB48" i="1"/>
  <c r="CB62" i="1" s="1"/>
  <c r="C364" i="9" s="1"/>
  <c r="BG48" i="1"/>
  <c r="BG62" i="1" s="1"/>
  <c r="I48" i="1"/>
  <c r="I62" i="1" s="1"/>
  <c r="BM48" i="1"/>
  <c r="BM62" i="1" s="1"/>
  <c r="AK48" i="1"/>
  <c r="AK62" i="1" s="1"/>
  <c r="AE48" i="1"/>
  <c r="AE62" i="1" s="1"/>
  <c r="L48" i="1"/>
  <c r="L62" i="1" s="1"/>
  <c r="AS48" i="1"/>
  <c r="AS62" i="1" s="1"/>
  <c r="V48" i="1"/>
  <c r="V62" i="1" s="1"/>
  <c r="AJ48" i="1"/>
  <c r="AJ62" i="1" s="1"/>
  <c r="BF48" i="1"/>
  <c r="BF62" i="1" s="1"/>
  <c r="BP48" i="1"/>
  <c r="BP62" i="1" s="1"/>
  <c r="S48" i="1"/>
  <c r="S62" i="1" s="1"/>
  <c r="AM48" i="1"/>
  <c r="AM62" i="1" s="1"/>
  <c r="M48" i="1"/>
  <c r="M62" i="1" s="1"/>
  <c r="F44" i="9" s="1"/>
  <c r="BZ48" i="1"/>
  <c r="BZ62" i="1" s="1"/>
  <c r="P48" i="1"/>
  <c r="P62" i="1" s="1"/>
  <c r="AL48" i="1"/>
  <c r="AL62" i="1" s="1"/>
  <c r="AV48" i="1"/>
  <c r="AV62" i="1" s="1"/>
  <c r="BR48" i="1"/>
  <c r="BR62" i="1" s="1"/>
  <c r="G300" i="9" s="1"/>
  <c r="CA48" i="1"/>
  <c r="CA62" i="1" s="1"/>
  <c r="AI48" i="1"/>
  <c r="AI62" i="1" s="1"/>
  <c r="BW48" i="1"/>
  <c r="BW62" i="1" s="1"/>
  <c r="E48" i="1"/>
  <c r="E62" i="1" s="1"/>
  <c r="AU48" i="1"/>
  <c r="AU62" i="1" s="1"/>
  <c r="X48" i="1"/>
  <c r="X62" i="1" s="1"/>
  <c r="B538" i="1"/>
  <c r="B514" i="1"/>
  <c r="B525" i="1"/>
  <c r="B551" i="1"/>
  <c r="B543" i="1"/>
  <c r="B549" i="1"/>
  <c r="B557" i="1"/>
  <c r="B501" i="1"/>
  <c r="B517" i="1"/>
  <c r="B509" i="1"/>
  <c r="B513" i="1"/>
  <c r="B537" i="1"/>
  <c r="B547" i="1"/>
  <c r="B534" i="1"/>
  <c r="B566" i="1"/>
  <c r="B524" i="1"/>
  <c r="B558" i="1"/>
  <c r="B542" i="1"/>
  <c r="B506" i="1"/>
  <c r="B531" i="1"/>
  <c r="B570" i="1"/>
  <c r="B535" i="1"/>
  <c r="B562" i="1"/>
  <c r="B546" i="1"/>
  <c r="B518" i="1"/>
  <c r="B532" i="1"/>
  <c r="B516" i="1"/>
  <c r="B561" i="1"/>
  <c r="B550" i="1"/>
  <c r="B555" i="1"/>
  <c r="B540" i="1"/>
  <c r="B560" i="1"/>
  <c r="B548" i="1"/>
  <c r="B497" i="1"/>
  <c r="B545" i="1"/>
  <c r="B571" i="1"/>
  <c r="B541" i="1"/>
  <c r="B554" i="1"/>
  <c r="B530" i="1"/>
  <c r="B556" i="1"/>
  <c r="B568" i="1"/>
  <c r="B553" i="1"/>
  <c r="B529" i="1"/>
  <c r="B559" i="1"/>
  <c r="B507" i="1"/>
  <c r="B563" i="1"/>
  <c r="B569" i="1"/>
  <c r="B498" i="1"/>
  <c r="B564" i="1"/>
  <c r="B567" i="1"/>
  <c r="B574" i="1"/>
  <c r="B499" i="1"/>
  <c r="B527" i="1"/>
  <c r="B505" i="1"/>
  <c r="B572" i="1"/>
  <c r="B503" i="1"/>
  <c r="B522" i="1"/>
  <c r="B544" i="1"/>
  <c r="B519" i="1"/>
  <c r="B504" i="1"/>
  <c r="B528" i="1"/>
  <c r="B533" i="1"/>
  <c r="B521" i="1"/>
  <c r="B510" i="1"/>
  <c r="B508" i="1"/>
  <c r="B520" i="1"/>
  <c r="B552" i="1"/>
  <c r="B539" i="1"/>
  <c r="B512" i="1"/>
  <c r="B515" i="1"/>
  <c r="B526" i="1"/>
  <c r="B502" i="1"/>
  <c r="B565" i="1"/>
  <c r="B536" i="1"/>
  <c r="B500" i="1"/>
  <c r="B523" i="1"/>
  <c r="B446" i="1"/>
  <c r="D242" i="1"/>
  <c r="C418" i="1"/>
  <c r="D438" i="1"/>
  <c r="F14" i="6"/>
  <c r="C471" i="1"/>
  <c r="F10" i="6"/>
  <c r="D339" i="1"/>
  <c r="D26" i="9"/>
  <c r="CE75" i="1"/>
  <c r="F7" i="6"/>
  <c r="E204" i="1"/>
  <c r="C468" i="1"/>
  <c r="I383" i="9"/>
  <c r="D22" i="7"/>
  <c r="C40" i="5"/>
  <c r="C420" i="1"/>
  <c r="B28" i="4"/>
  <c r="F186" i="9"/>
  <c r="I376" i="9"/>
  <c r="C463" i="1"/>
  <c r="D58" i="9"/>
  <c r="G26" i="9"/>
  <c r="E217" i="1"/>
  <c r="I384" i="9"/>
  <c r="L612" i="1"/>
  <c r="F218" i="9"/>
  <c r="D90" i="9"/>
  <c r="D464" i="1"/>
  <c r="D465" i="1" s="1"/>
  <c r="H154" i="9"/>
  <c r="I367" i="9"/>
  <c r="D373" i="1"/>
  <c r="D434" i="1"/>
  <c r="D292" i="1"/>
  <c r="D341" i="1" s="1"/>
  <c r="C58" i="9"/>
  <c r="D52" i="1" l="1"/>
  <c r="D67" i="1" s="1"/>
  <c r="BN52" i="1"/>
  <c r="BN67" i="1" s="1"/>
  <c r="BM52" i="1"/>
  <c r="BM67" i="1" s="1"/>
  <c r="I273" i="9" s="1"/>
  <c r="G52" i="1"/>
  <c r="G67" i="1" s="1"/>
  <c r="G17" i="9" s="1"/>
  <c r="BQ52" i="1"/>
  <c r="BQ67" i="1" s="1"/>
  <c r="S52" i="1"/>
  <c r="S67" i="1" s="1"/>
  <c r="S71" i="1" s="1"/>
  <c r="CC52" i="1"/>
  <c r="CC67" i="1" s="1"/>
  <c r="AH52" i="1"/>
  <c r="AH67" i="1" s="1"/>
  <c r="AH71" i="1" s="1"/>
  <c r="U52" i="1"/>
  <c r="U67" i="1" s="1"/>
  <c r="G81" i="9" s="1"/>
  <c r="BV52" i="1"/>
  <c r="BV67" i="1" s="1"/>
  <c r="BV71" i="1" s="1"/>
  <c r="D341" i="9" s="1"/>
  <c r="T52" i="1"/>
  <c r="T67" i="1" s="1"/>
  <c r="AY52" i="1"/>
  <c r="AY67" i="1" s="1"/>
  <c r="AY71" i="1" s="1"/>
  <c r="C625" i="1" s="1"/>
  <c r="BF52" i="1"/>
  <c r="BF67" i="1" s="1"/>
  <c r="I241" i="9" s="1"/>
  <c r="AT52" i="1"/>
  <c r="AT67" i="1" s="1"/>
  <c r="BH52" i="1"/>
  <c r="BH67" i="1" s="1"/>
  <c r="AZ52" i="1"/>
  <c r="AZ67" i="1" s="1"/>
  <c r="C241" i="9" s="1"/>
  <c r="BE52" i="1"/>
  <c r="BE67" i="1" s="1"/>
  <c r="AK52" i="1"/>
  <c r="AK67" i="1" s="1"/>
  <c r="AW52" i="1"/>
  <c r="AW67" i="1" s="1"/>
  <c r="AW71" i="1" s="1"/>
  <c r="BY52" i="1"/>
  <c r="BY67" i="1" s="1"/>
  <c r="BY71" i="1" s="1"/>
  <c r="C570" i="1" s="1"/>
  <c r="AM52" i="1"/>
  <c r="AM67" i="1" s="1"/>
  <c r="D177" i="9" s="1"/>
  <c r="AV52" i="1"/>
  <c r="AV67" i="1" s="1"/>
  <c r="AV71" i="1" s="1"/>
  <c r="AI52" i="1"/>
  <c r="AI67" i="1" s="1"/>
  <c r="AE52" i="1"/>
  <c r="AE67" i="1" s="1"/>
  <c r="C145" i="9" s="1"/>
  <c r="C52" i="1"/>
  <c r="C67" i="1" s="1"/>
  <c r="H52" i="1"/>
  <c r="H67" i="1" s="1"/>
  <c r="E52" i="1"/>
  <c r="E67" i="1" s="1"/>
  <c r="AX52" i="1"/>
  <c r="AX67" i="1" s="1"/>
  <c r="AX71" i="1" s="1"/>
  <c r="C616" i="1" s="1"/>
  <c r="W52" i="1"/>
  <c r="W67" i="1" s="1"/>
  <c r="BZ52" i="1"/>
  <c r="BZ67" i="1" s="1"/>
  <c r="H337" i="9" s="1"/>
  <c r="BR52" i="1"/>
  <c r="BR67" i="1" s="1"/>
  <c r="BR71" i="1" s="1"/>
  <c r="G309" i="9" s="1"/>
  <c r="AA52" i="1"/>
  <c r="AA67" i="1" s="1"/>
  <c r="F113" i="9" s="1"/>
  <c r="M52" i="1"/>
  <c r="M67" i="1" s="1"/>
  <c r="M71" i="1" s="1"/>
  <c r="C506" i="1" s="1"/>
  <c r="G506" i="1" s="1"/>
  <c r="CB52" i="1"/>
  <c r="CB67" i="1" s="1"/>
  <c r="C369" i="9" s="1"/>
  <c r="F52" i="1"/>
  <c r="F67" i="1" s="1"/>
  <c r="F17" i="9" s="1"/>
  <c r="BD52" i="1"/>
  <c r="BD67" i="1" s="1"/>
  <c r="BD71" i="1" s="1"/>
  <c r="H71" i="1"/>
  <c r="C501" i="1" s="1"/>
  <c r="G501" i="1" s="1"/>
  <c r="AB52" i="1"/>
  <c r="AB67" i="1" s="1"/>
  <c r="BJ52" i="1"/>
  <c r="BJ67" i="1" s="1"/>
  <c r="BJ71" i="1" s="1"/>
  <c r="C617" i="1" s="1"/>
  <c r="BB52" i="1"/>
  <c r="BB67" i="1" s="1"/>
  <c r="BW52" i="1"/>
  <c r="BW67" i="1" s="1"/>
  <c r="BW71" i="1" s="1"/>
  <c r="Z52" i="1"/>
  <c r="Z67" i="1" s="1"/>
  <c r="H145" i="9"/>
  <c r="AN52" i="1"/>
  <c r="AN67" i="1" s="1"/>
  <c r="AN71" i="1" s="1"/>
  <c r="K52" i="1"/>
  <c r="K67" i="1" s="1"/>
  <c r="K71" i="1" s="1"/>
  <c r="P52" i="1"/>
  <c r="P67" i="1" s="1"/>
  <c r="I49" i="9" s="1"/>
  <c r="O52" i="1"/>
  <c r="O67" i="1" s="1"/>
  <c r="BK52" i="1"/>
  <c r="BK67" i="1" s="1"/>
  <c r="BK71" i="1" s="1"/>
  <c r="AG52" i="1"/>
  <c r="AG67" i="1" s="1"/>
  <c r="AG71" i="1" s="1"/>
  <c r="Q52" i="1"/>
  <c r="Q67" i="1" s="1"/>
  <c r="Q71" i="1" s="1"/>
  <c r="AR52" i="1"/>
  <c r="AR67" i="1" s="1"/>
  <c r="BA52" i="1"/>
  <c r="BA67" i="1" s="1"/>
  <c r="BA71" i="1" s="1"/>
  <c r="BL52" i="1"/>
  <c r="BL67" i="1" s="1"/>
  <c r="BL71" i="1" s="1"/>
  <c r="R52" i="1"/>
  <c r="R67" i="1" s="1"/>
  <c r="BT52" i="1"/>
  <c r="BT67" i="1" s="1"/>
  <c r="BT71" i="1" s="1"/>
  <c r="AC52" i="1"/>
  <c r="AC67" i="1" s="1"/>
  <c r="AC71" i="1" s="1"/>
  <c r="C694" i="1" s="1"/>
  <c r="AD52" i="1"/>
  <c r="AD67" i="1" s="1"/>
  <c r="AD71" i="1" s="1"/>
  <c r="C523" i="1" s="1"/>
  <c r="G523" i="1" s="1"/>
  <c r="Y52" i="1"/>
  <c r="Y67" i="1" s="1"/>
  <c r="J52" i="1"/>
  <c r="J67" i="1" s="1"/>
  <c r="J71" i="1" s="1"/>
  <c r="C53" i="9" s="1"/>
  <c r="BC52" i="1"/>
  <c r="BC67" i="1" s="1"/>
  <c r="BC71" i="1" s="1"/>
  <c r="AO52" i="1"/>
  <c r="AO67" i="1" s="1"/>
  <c r="AO71" i="1" s="1"/>
  <c r="CA52" i="1"/>
  <c r="CA67" i="1" s="1"/>
  <c r="X52" i="1"/>
  <c r="X67" i="1" s="1"/>
  <c r="X71" i="1" s="1"/>
  <c r="N52" i="1"/>
  <c r="N67" i="1" s="1"/>
  <c r="N71" i="1" s="1"/>
  <c r="C679" i="1" s="1"/>
  <c r="BP52" i="1"/>
  <c r="BP67" i="1" s="1"/>
  <c r="L52" i="1"/>
  <c r="L67" i="1" s="1"/>
  <c r="AF52" i="1"/>
  <c r="AF67" i="1" s="1"/>
  <c r="AQ52" i="1"/>
  <c r="AQ67" i="1" s="1"/>
  <c r="AQ71" i="1" s="1"/>
  <c r="C536" i="1" s="1"/>
  <c r="G536" i="1" s="1"/>
  <c r="BS52" i="1"/>
  <c r="BS67" i="1" s="1"/>
  <c r="BS71" i="1" s="1"/>
  <c r="AP52" i="1"/>
  <c r="AP67" i="1" s="1"/>
  <c r="AP71" i="1" s="1"/>
  <c r="C707" i="1" s="1"/>
  <c r="AL52" i="1"/>
  <c r="AL67" i="1" s="1"/>
  <c r="AU52" i="1"/>
  <c r="AU67" i="1" s="1"/>
  <c r="AU71" i="1" s="1"/>
  <c r="C712" i="1" s="1"/>
  <c r="BX52" i="1"/>
  <c r="BX67" i="1" s="1"/>
  <c r="BX71" i="1" s="1"/>
  <c r="BI52" i="1"/>
  <c r="BI67" i="1" s="1"/>
  <c r="BI71" i="1" s="1"/>
  <c r="BO52" i="1"/>
  <c r="BO67" i="1" s="1"/>
  <c r="AS52" i="1"/>
  <c r="AS67" i="1" s="1"/>
  <c r="BU52" i="1"/>
  <c r="BU67" i="1" s="1"/>
  <c r="BU71" i="1" s="1"/>
  <c r="V52" i="1"/>
  <c r="V67" i="1" s="1"/>
  <c r="V71" i="1" s="1"/>
  <c r="I52" i="1"/>
  <c r="I67" i="1" s="1"/>
  <c r="BG52" i="1"/>
  <c r="BG67" i="1" s="1"/>
  <c r="BG71" i="1" s="1"/>
  <c r="D71" i="1"/>
  <c r="D21" i="9" s="1"/>
  <c r="D204" i="9"/>
  <c r="I76" i="9"/>
  <c r="E332" i="9"/>
  <c r="H204" i="9"/>
  <c r="I236" i="9"/>
  <c r="H172" i="9"/>
  <c r="C108" i="9"/>
  <c r="D364" i="9"/>
  <c r="F236" i="9"/>
  <c r="C172" i="9"/>
  <c r="D332" i="9"/>
  <c r="F268" i="9"/>
  <c r="D12" i="9"/>
  <c r="H76" i="9"/>
  <c r="F140" i="9"/>
  <c r="D108" i="9"/>
  <c r="BN71" i="1"/>
  <c r="C559" i="1" s="1"/>
  <c r="I108" i="9"/>
  <c r="I204" i="9"/>
  <c r="G332" i="9"/>
  <c r="D172" i="9"/>
  <c r="AJ71" i="1"/>
  <c r="H140" i="9"/>
  <c r="E44" i="9"/>
  <c r="I12" i="9"/>
  <c r="Z71" i="1"/>
  <c r="E108" i="9"/>
  <c r="D268" i="9"/>
  <c r="BE71" i="1"/>
  <c r="H236" i="9"/>
  <c r="H300" i="9"/>
  <c r="R71" i="1"/>
  <c r="D76" i="9"/>
  <c r="G236" i="9"/>
  <c r="D44" i="9"/>
  <c r="G268" i="9"/>
  <c r="G71" i="1"/>
  <c r="C500" i="1" s="1"/>
  <c r="G500" i="1" s="1"/>
  <c r="E12" i="9"/>
  <c r="G140" i="9"/>
  <c r="E236" i="9"/>
  <c r="I332" i="9"/>
  <c r="I44" i="9"/>
  <c r="E76" i="9"/>
  <c r="C140" i="9"/>
  <c r="C268" i="9"/>
  <c r="D140" i="9"/>
  <c r="D300" i="9"/>
  <c r="C332" i="9"/>
  <c r="F300" i="9"/>
  <c r="H12" i="9"/>
  <c r="E300" i="9"/>
  <c r="BP71" i="1"/>
  <c r="I140" i="9"/>
  <c r="AK71" i="1"/>
  <c r="G108" i="9"/>
  <c r="AB71" i="1"/>
  <c r="I300" i="9"/>
  <c r="F76" i="9"/>
  <c r="H332" i="9"/>
  <c r="C204" i="9"/>
  <c r="AS71" i="1"/>
  <c r="I172" i="9"/>
  <c r="F332" i="9"/>
  <c r="G76" i="9"/>
  <c r="E172" i="9"/>
  <c r="C76" i="9"/>
  <c r="E268" i="9"/>
  <c r="E204" i="9"/>
  <c r="G204" i="9"/>
  <c r="CB71" i="1"/>
  <c r="C622" i="1" s="1"/>
  <c r="F204" i="9"/>
  <c r="I268" i="9"/>
  <c r="BM71" i="1"/>
  <c r="H268" i="9"/>
  <c r="C62" i="1"/>
  <c r="CE48" i="1"/>
  <c r="F172" i="9"/>
  <c r="D236" i="9"/>
  <c r="E140" i="9"/>
  <c r="B511" i="1"/>
  <c r="B573" i="1"/>
  <c r="H501" i="1"/>
  <c r="F501" i="1"/>
  <c r="F517" i="1"/>
  <c r="F499" i="1"/>
  <c r="H499" i="1"/>
  <c r="H505" i="1"/>
  <c r="F505" i="1"/>
  <c r="H497" i="1"/>
  <c r="F497" i="1"/>
  <c r="F515" i="1"/>
  <c r="H515" i="1"/>
  <c r="D27" i="7"/>
  <c r="B448" i="1"/>
  <c r="F544" i="1"/>
  <c r="H536" i="1"/>
  <c r="F536" i="1"/>
  <c r="F528" i="1"/>
  <c r="H528" i="1"/>
  <c r="F520" i="1"/>
  <c r="H520" i="1"/>
  <c r="C481" i="1"/>
  <c r="C50" i="8"/>
  <c r="I378" i="9"/>
  <c r="K612" i="1"/>
  <c r="C465" i="1"/>
  <c r="C126" i="8"/>
  <c r="D391" i="1"/>
  <c r="F32" i="6"/>
  <c r="C478" i="1"/>
  <c r="C305" i="9"/>
  <c r="C102" i="8"/>
  <c r="C482" i="1"/>
  <c r="F498" i="1"/>
  <c r="I145" i="9"/>
  <c r="C476" i="1"/>
  <c r="F16" i="6"/>
  <c r="F516" i="1"/>
  <c r="D17" i="9"/>
  <c r="F540" i="1"/>
  <c r="H540" i="1"/>
  <c r="F532" i="1"/>
  <c r="H532" i="1"/>
  <c r="F524" i="1"/>
  <c r="F550" i="1"/>
  <c r="F49" i="9"/>
  <c r="AE71" i="1" l="1"/>
  <c r="C673" i="1"/>
  <c r="AM71" i="1"/>
  <c r="BQ71" i="1"/>
  <c r="F305" i="9"/>
  <c r="E113" i="9"/>
  <c r="E71" i="1"/>
  <c r="H209" i="9"/>
  <c r="AA71" i="1"/>
  <c r="C520" i="1" s="1"/>
  <c r="G520" i="1" s="1"/>
  <c r="CE52" i="1"/>
  <c r="E17" i="9"/>
  <c r="C555" i="1"/>
  <c r="F277" i="9"/>
  <c r="G337" i="9"/>
  <c r="G241" i="9"/>
  <c r="I209" i="9"/>
  <c r="AZ71" i="1"/>
  <c r="C628" i="1" s="1"/>
  <c r="H241" i="9"/>
  <c r="D337" i="9"/>
  <c r="U71" i="1"/>
  <c r="C686" i="1" s="1"/>
  <c r="BF71" i="1"/>
  <c r="C629" i="1" s="1"/>
  <c r="H17" i="9"/>
  <c r="C540" i="1"/>
  <c r="G540" i="1" s="1"/>
  <c r="P71" i="1"/>
  <c r="C681" i="1" s="1"/>
  <c r="C527" i="1"/>
  <c r="G527" i="1" s="1"/>
  <c r="C699" i="1"/>
  <c r="F149" i="9"/>
  <c r="F245" i="9"/>
  <c r="C548" i="1"/>
  <c r="E341" i="9"/>
  <c r="C568" i="1"/>
  <c r="D273" i="9"/>
  <c r="H21" i="9"/>
  <c r="C669" i="1"/>
  <c r="G145" i="9"/>
  <c r="D369" i="9"/>
  <c r="F81" i="9"/>
  <c r="C497" i="1"/>
  <c r="G497" i="1" s="1"/>
  <c r="F71" i="1"/>
  <c r="C499" i="1" s="1"/>
  <c r="G499" i="1" s="1"/>
  <c r="BZ71" i="1"/>
  <c r="H341" i="9" s="1"/>
  <c r="T71" i="1"/>
  <c r="F85" i="9" s="1"/>
  <c r="BH71" i="1"/>
  <c r="D277" i="9" s="1"/>
  <c r="F273" i="9"/>
  <c r="I81" i="9"/>
  <c r="C17" i="9"/>
  <c r="CE67" i="1"/>
  <c r="W71" i="1"/>
  <c r="E81" i="9"/>
  <c r="E337" i="9"/>
  <c r="F145" i="9"/>
  <c r="AI71" i="1"/>
  <c r="G149" i="9" s="1"/>
  <c r="E241" i="9"/>
  <c r="F209" i="9"/>
  <c r="D209" i="9"/>
  <c r="AT71" i="1"/>
  <c r="G305" i="9"/>
  <c r="G209" i="9"/>
  <c r="CC71" i="1"/>
  <c r="D373" i="9" s="1"/>
  <c r="BB71" i="1"/>
  <c r="E245" i="9" s="1"/>
  <c r="G113" i="9"/>
  <c r="C689" i="1"/>
  <c r="C517" i="1"/>
  <c r="G517" i="1" s="1"/>
  <c r="C117" i="9"/>
  <c r="C687" i="1"/>
  <c r="H85" i="9"/>
  <c r="C515" i="1"/>
  <c r="G515" i="1" s="1"/>
  <c r="E213" i="9"/>
  <c r="C633" i="1"/>
  <c r="C337" i="9"/>
  <c r="F337" i="9"/>
  <c r="H305" i="9"/>
  <c r="E305" i="9"/>
  <c r="F177" i="9"/>
  <c r="I113" i="9"/>
  <c r="H273" i="9"/>
  <c r="E145" i="9"/>
  <c r="I17" i="9"/>
  <c r="D305" i="9"/>
  <c r="C177" i="9"/>
  <c r="D145" i="9"/>
  <c r="C113" i="9"/>
  <c r="C49" i="9"/>
  <c r="I305" i="9"/>
  <c r="I177" i="9"/>
  <c r="H49" i="9"/>
  <c r="BO71" i="1"/>
  <c r="E177" i="9"/>
  <c r="AR71" i="1"/>
  <c r="C537" i="1" s="1"/>
  <c r="G537" i="1" s="1"/>
  <c r="I71" i="1"/>
  <c r="C674" i="1" s="1"/>
  <c r="H81" i="9"/>
  <c r="E273" i="9"/>
  <c r="G177" i="9"/>
  <c r="E49" i="9"/>
  <c r="I337" i="9"/>
  <c r="D113" i="9"/>
  <c r="D81" i="9"/>
  <c r="C81" i="9"/>
  <c r="AF71" i="1"/>
  <c r="C697" i="1" s="1"/>
  <c r="CA71" i="1"/>
  <c r="I341" i="9" s="1"/>
  <c r="L71" i="1"/>
  <c r="C677" i="1" s="1"/>
  <c r="AL71" i="1"/>
  <c r="C181" i="9" s="1"/>
  <c r="O71" i="1"/>
  <c r="C508" i="1" s="1"/>
  <c r="G508" i="1" s="1"/>
  <c r="C273" i="9"/>
  <c r="C209" i="9"/>
  <c r="E209" i="9"/>
  <c r="H177" i="9"/>
  <c r="G49" i="9"/>
  <c r="F241" i="9"/>
  <c r="H113" i="9"/>
  <c r="D241" i="9"/>
  <c r="G273" i="9"/>
  <c r="D49" i="9"/>
  <c r="Y71" i="1"/>
  <c r="C643" i="1"/>
  <c r="C642" i="1"/>
  <c r="C567" i="1"/>
  <c r="C675" i="1"/>
  <c r="F53" i="9"/>
  <c r="C503" i="1"/>
  <c r="G503" i="1" s="1"/>
  <c r="C678" i="1"/>
  <c r="C708" i="1"/>
  <c r="I117" i="9"/>
  <c r="H181" i="9"/>
  <c r="H213" i="9"/>
  <c r="C695" i="1"/>
  <c r="C543" i="1"/>
  <c r="G21" i="9"/>
  <c r="C619" i="1"/>
  <c r="C563" i="1"/>
  <c r="C507" i="1"/>
  <c r="G507" i="1" s="1"/>
  <c r="C535" i="1"/>
  <c r="G535" i="1" s="1"/>
  <c r="I213" i="9"/>
  <c r="G181" i="9"/>
  <c r="C626" i="1"/>
  <c r="C672" i="1"/>
  <c r="C309" i="9"/>
  <c r="C522" i="1"/>
  <c r="G522" i="1" s="1"/>
  <c r="G53" i="9"/>
  <c r="C544" i="1"/>
  <c r="G544" i="1" s="1"/>
  <c r="G341" i="9"/>
  <c r="C645" i="1"/>
  <c r="H117" i="9"/>
  <c r="C541" i="1"/>
  <c r="C713" i="1"/>
  <c r="F213" i="9"/>
  <c r="F309" i="9"/>
  <c r="C562" i="1"/>
  <c r="C623" i="1"/>
  <c r="C618" i="1"/>
  <c r="C552" i="1"/>
  <c r="C277" i="9"/>
  <c r="C511" i="1"/>
  <c r="G511" i="1" s="1"/>
  <c r="C683" i="1"/>
  <c r="D85" i="9"/>
  <c r="C573" i="1"/>
  <c r="C698" i="1"/>
  <c r="C526" i="1"/>
  <c r="G526" i="1" s="1"/>
  <c r="E149" i="9"/>
  <c r="C85" i="9"/>
  <c r="C510" i="1"/>
  <c r="G510" i="1" s="1"/>
  <c r="C682" i="1"/>
  <c r="C644" i="1"/>
  <c r="F341" i="9"/>
  <c r="C569" i="1"/>
  <c r="C640" i="1"/>
  <c r="C565" i="1"/>
  <c r="I309" i="9"/>
  <c r="C530" i="1"/>
  <c r="G530" i="1" s="1"/>
  <c r="C702" i="1"/>
  <c r="I149" i="9"/>
  <c r="E309" i="9"/>
  <c r="C561" i="1"/>
  <c r="C621" i="1"/>
  <c r="E85" i="9"/>
  <c r="C512" i="1"/>
  <c r="G512" i="1" s="1"/>
  <c r="C684" i="1"/>
  <c r="G277" i="9"/>
  <c r="C635" i="1"/>
  <c r="C556" i="1"/>
  <c r="C691" i="1"/>
  <c r="C519" i="1"/>
  <c r="G519" i="1" s="1"/>
  <c r="E117" i="9"/>
  <c r="C532" i="1"/>
  <c r="G532" i="1" s="1"/>
  <c r="C704" i="1"/>
  <c r="D181" i="9"/>
  <c r="F181" i="9"/>
  <c r="C534" i="1"/>
  <c r="G534" i="1" s="1"/>
  <c r="C706" i="1"/>
  <c r="C71" i="1"/>
  <c r="CE62" i="1"/>
  <c r="C428" i="1" s="1"/>
  <c r="C12" i="9"/>
  <c r="C557" i="1"/>
  <c r="C637" i="1"/>
  <c r="H277" i="9"/>
  <c r="C710" i="1"/>
  <c r="C213" i="9"/>
  <c r="C538" i="1"/>
  <c r="G538" i="1" s="1"/>
  <c r="C521" i="1"/>
  <c r="G521" i="1" s="1"/>
  <c r="G117" i="9"/>
  <c r="C693" i="1"/>
  <c r="C524" i="1"/>
  <c r="C149" i="9"/>
  <c r="C696" i="1"/>
  <c r="D53" i="9"/>
  <c r="C676" i="1"/>
  <c r="C504" i="1"/>
  <c r="G504" i="1" s="1"/>
  <c r="C624" i="1"/>
  <c r="C549" i="1"/>
  <c r="G245" i="9"/>
  <c r="C639" i="1"/>
  <c r="H309" i="9"/>
  <c r="C564" i="1"/>
  <c r="H245" i="9"/>
  <c r="C614" i="1"/>
  <c r="C550" i="1"/>
  <c r="H149" i="9"/>
  <c r="C529" i="1"/>
  <c r="G529" i="1" s="1"/>
  <c r="C701" i="1"/>
  <c r="C638" i="1"/>
  <c r="C558" i="1"/>
  <c r="I277" i="9"/>
  <c r="C554" i="1"/>
  <c r="C634" i="1"/>
  <c r="E277" i="9"/>
  <c r="C641" i="1"/>
  <c r="C566" i="1"/>
  <c r="C341" i="9"/>
  <c r="C373" i="9"/>
  <c r="D245" i="9"/>
  <c r="C630" i="1"/>
  <c r="C546" i="1"/>
  <c r="G546" i="1" s="1"/>
  <c r="C533" i="1"/>
  <c r="G533" i="1" s="1"/>
  <c r="C705" i="1"/>
  <c r="E181" i="9"/>
  <c r="G213" i="9"/>
  <c r="C542" i="1"/>
  <c r="C631" i="1"/>
  <c r="F511" i="1"/>
  <c r="B496" i="1"/>
  <c r="H496" i="1" s="1"/>
  <c r="F522" i="1"/>
  <c r="F510" i="1"/>
  <c r="H510" i="1"/>
  <c r="F513" i="1"/>
  <c r="H513" i="1"/>
  <c r="C142" i="8"/>
  <c r="D393" i="1"/>
  <c r="F538" i="1"/>
  <c r="H538" i="1"/>
  <c r="F534" i="1"/>
  <c r="H534" i="1"/>
  <c r="H502" i="1"/>
  <c r="F502" i="1"/>
  <c r="H504" i="1"/>
  <c r="F504" i="1"/>
  <c r="H530" i="1"/>
  <c r="F530" i="1"/>
  <c r="F512" i="1"/>
  <c r="H512" i="1"/>
  <c r="F526" i="1"/>
  <c r="F503" i="1"/>
  <c r="H503" i="1"/>
  <c r="H508" i="1"/>
  <c r="F508" i="1"/>
  <c r="F514" i="1"/>
  <c r="F507" i="1"/>
  <c r="F518" i="1"/>
  <c r="H546" i="1"/>
  <c r="F546" i="1"/>
  <c r="F506" i="1"/>
  <c r="H506" i="1"/>
  <c r="H500" i="1"/>
  <c r="F500" i="1"/>
  <c r="F509" i="1"/>
  <c r="C513" i="1" l="1"/>
  <c r="G513" i="1" s="1"/>
  <c r="C685" i="1"/>
  <c r="C531" i="1"/>
  <c r="G531" i="1" s="1"/>
  <c r="C572" i="1"/>
  <c r="C505" i="1"/>
  <c r="G505" i="1" s="1"/>
  <c r="F21" i="9"/>
  <c r="C514" i="1"/>
  <c r="G514" i="1" s="1"/>
  <c r="F117" i="9"/>
  <c r="I53" i="9"/>
  <c r="H53" i="9"/>
  <c r="C646" i="1"/>
  <c r="C692" i="1"/>
  <c r="C245" i="9"/>
  <c r="I245" i="9"/>
  <c r="C545" i="1"/>
  <c r="G545" i="1" s="1"/>
  <c r="C636" i="1"/>
  <c r="G85" i="9"/>
  <c r="C509" i="1"/>
  <c r="G509" i="1" s="1"/>
  <c r="C680" i="1"/>
  <c r="E53" i="9"/>
  <c r="C571" i="1"/>
  <c r="C709" i="1"/>
  <c r="C647" i="1"/>
  <c r="H517" i="1"/>
  <c r="C671" i="1"/>
  <c r="I181" i="9"/>
  <c r="C551" i="1"/>
  <c r="C547" i="1"/>
  <c r="C632" i="1"/>
  <c r="C700" i="1"/>
  <c r="C528" i="1"/>
  <c r="G528" i="1" s="1"/>
  <c r="C670" i="1"/>
  <c r="C498" i="1"/>
  <c r="E21" i="9"/>
  <c r="D213" i="9"/>
  <c r="C711" i="1"/>
  <c r="C539" i="1"/>
  <c r="G539" i="1" s="1"/>
  <c r="C553" i="1"/>
  <c r="I21" i="9"/>
  <c r="I369" i="9"/>
  <c r="C433" i="1"/>
  <c r="C688" i="1"/>
  <c r="C516" i="1"/>
  <c r="I85" i="9"/>
  <c r="C620" i="1"/>
  <c r="C502" i="1"/>
  <c r="G502" i="1" s="1"/>
  <c r="C574" i="1"/>
  <c r="C627" i="1"/>
  <c r="C560" i="1"/>
  <c r="D309" i="9"/>
  <c r="C525" i="1"/>
  <c r="G525" i="1" s="1"/>
  <c r="D149" i="9"/>
  <c r="C703" i="1"/>
  <c r="D117" i="9"/>
  <c r="C518" i="1"/>
  <c r="C690" i="1"/>
  <c r="H507" i="1"/>
  <c r="H522" i="1"/>
  <c r="H544" i="1"/>
  <c r="H511" i="1"/>
  <c r="G524" i="1"/>
  <c r="H524" i="1"/>
  <c r="D615" i="1"/>
  <c r="I364" i="9"/>
  <c r="CE71" i="1"/>
  <c r="C441" i="1"/>
  <c r="H526" i="1"/>
  <c r="G550" i="1"/>
  <c r="H550" i="1" s="1"/>
  <c r="C496" i="1"/>
  <c r="G496" i="1" s="1"/>
  <c r="C668" i="1"/>
  <c r="C21" i="9"/>
  <c r="F496" i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C648" i="1" l="1"/>
  <c r="M716" i="1" s="1"/>
  <c r="H514" i="1"/>
  <c r="H509" i="1"/>
  <c r="C715" i="1"/>
  <c r="G498" i="1"/>
  <c r="H498" i="1"/>
  <c r="G516" i="1"/>
  <c r="H516" i="1"/>
  <c r="G518" i="1"/>
  <c r="H518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97" i="1"/>
  <c r="D690" i="1"/>
  <c r="D702" i="1"/>
  <c r="D694" i="1"/>
  <c r="D635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32" i="1"/>
  <c r="D674" i="1"/>
  <c r="D685" i="1"/>
  <c r="D636" i="1"/>
  <c r="D637" i="1"/>
  <c r="D698" i="1"/>
  <c r="D616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84" i="1"/>
  <c r="D642" i="1"/>
  <c r="D617" i="1"/>
  <c r="D716" i="1"/>
  <c r="D709" i="1"/>
  <c r="D707" i="1"/>
  <c r="D713" i="1"/>
  <c r="D647" i="1"/>
  <c r="C716" i="1"/>
  <c r="I373" i="9"/>
  <c r="E612" i="1" l="1"/>
  <c r="E623" i="1"/>
  <c r="E716" i="1" s="1"/>
  <c r="D715" i="1"/>
  <c r="E688" i="1" l="1"/>
  <c r="E706" i="1"/>
  <c r="E679" i="1"/>
  <c r="E690" i="1"/>
  <c r="E705" i="1"/>
  <c r="E684" i="1"/>
  <c r="E642" i="1"/>
  <c r="E629" i="1"/>
  <c r="E711" i="1"/>
  <c r="E626" i="1"/>
  <c r="E674" i="1"/>
  <c r="E670" i="1"/>
  <c r="E634" i="1"/>
  <c r="E636" i="1"/>
  <c r="E697" i="1"/>
  <c r="E698" i="1"/>
  <c r="E693" i="1"/>
  <c r="E646" i="1"/>
  <c r="E678" i="1"/>
  <c r="E637" i="1"/>
  <c r="E699" i="1"/>
  <c r="E672" i="1"/>
  <c r="E644" i="1"/>
  <c r="E640" i="1"/>
  <c r="E692" i="1"/>
  <c r="E695" i="1"/>
  <c r="E633" i="1"/>
  <c r="E632" i="1"/>
  <c r="E635" i="1"/>
  <c r="E630" i="1"/>
  <c r="E702" i="1"/>
  <c r="E669" i="1"/>
  <c r="E683" i="1"/>
  <c r="E647" i="1"/>
  <c r="E641" i="1"/>
  <c r="E707" i="1"/>
  <c r="E704" i="1"/>
  <c r="E638" i="1"/>
  <c r="E685" i="1"/>
  <c r="E682" i="1"/>
  <c r="E708" i="1"/>
  <c r="E624" i="1"/>
  <c r="F624" i="1" s="1"/>
  <c r="F701" i="1" s="1"/>
  <c r="E668" i="1"/>
  <c r="E694" i="1"/>
  <c r="E628" i="1"/>
  <c r="E673" i="1"/>
  <c r="E712" i="1"/>
  <c r="E645" i="1"/>
  <c r="E687" i="1"/>
  <c r="E675" i="1"/>
  <c r="E671" i="1"/>
  <c r="E713" i="1"/>
  <c r="E710" i="1"/>
  <c r="E627" i="1"/>
  <c r="E700" i="1"/>
  <c r="E676" i="1"/>
  <c r="E689" i="1"/>
  <c r="E625" i="1"/>
  <c r="E639" i="1"/>
  <c r="E701" i="1"/>
  <c r="E703" i="1"/>
  <c r="E709" i="1"/>
  <c r="E677" i="1"/>
  <c r="E680" i="1"/>
  <c r="E643" i="1"/>
  <c r="E631" i="1"/>
  <c r="E691" i="1"/>
  <c r="E686" i="1"/>
  <c r="E681" i="1"/>
  <c r="E696" i="1"/>
  <c r="F680" i="1" l="1"/>
  <c r="F641" i="1"/>
  <c r="F638" i="1"/>
  <c r="F688" i="1"/>
  <c r="F697" i="1"/>
  <c r="F644" i="1"/>
  <c r="F675" i="1"/>
  <c r="F674" i="1"/>
  <c r="F626" i="1"/>
  <c r="F678" i="1"/>
  <c r="F630" i="1"/>
  <c r="F699" i="1"/>
  <c r="F716" i="1"/>
  <c r="F635" i="1"/>
  <c r="F692" i="1"/>
  <c r="F696" i="1"/>
  <c r="F707" i="1"/>
  <c r="F637" i="1"/>
  <c r="F711" i="1"/>
  <c r="F706" i="1"/>
  <c r="F669" i="1"/>
  <c r="F647" i="1"/>
  <c r="F684" i="1"/>
  <c r="F631" i="1"/>
  <c r="F693" i="1"/>
  <c r="F668" i="1"/>
  <c r="F694" i="1"/>
  <c r="F713" i="1"/>
  <c r="F691" i="1"/>
  <c r="F634" i="1"/>
  <c r="F704" i="1"/>
  <c r="F705" i="1"/>
  <c r="F671" i="1"/>
  <c r="F681" i="1"/>
  <c r="F679" i="1"/>
  <c r="F689" i="1"/>
  <c r="F677" i="1"/>
  <c r="F672" i="1"/>
  <c r="F700" i="1"/>
  <c r="F683" i="1"/>
  <c r="F629" i="1"/>
  <c r="F703" i="1"/>
  <c r="F682" i="1"/>
  <c r="F702" i="1"/>
  <c r="F712" i="1"/>
  <c r="F690" i="1"/>
  <c r="F709" i="1"/>
  <c r="F642" i="1"/>
  <c r="F698" i="1"/>
  <c r="F645" i="1"/>
  <c r="F625" i="1"/>
  <c r="F646" i="1"/>
  <c r="F627" i="1"/>
  <c r="E715" i="1"/>
  <c r="F636" i="1"/>
  <c r="F710" i="1"/>
  <c r="F673" i="1"/>
  <c r="F640" i="1"/>
  <c r="F685" i="1"/>
  <c r="F628" i="1"/>
  <c r="F676" i="1"/>
  <c r="F687" i="1"/>
  <c r="F686" i="1"/>
  <c r="F639" i="1"/>
  <c r="F632" i="1"/>
  <c r="F670" i="1"/>
  <c r="F695" i="1"/>
  <c r="F643" i="1"/>
  <c r="F633" i="1"/>
  <c r="F708" i="1"/>
  <c r="G625" i="1"/>
  <c r="F715" i="1" l="1"/>
  <c r="G688" i="1"/>
  <c r="G644" i="1"/>
  <c r="G711" i="1"/>
  <c r="G638" i="1"/>
  <c r="G690" i="1"/>
  <c r="G702" i="1"/>
  <c r="G695" i="1"/>
  <c r="G669" i="1"/>
  <c r="G710" i="1"/>
  <c r="G645" i="1"/>
  <c r="G646" i="1"/>
  <c r="G640" i="1"/>
  <c r="G636" i="1"/>
  <c r="G626" i="1"/>
  <c r="G634" i="1"/>
  <c r="G689" i="1"/>
  <c r="G706" i="1"/>
  <c r="G642" i="1"/>
  <c r="G693" i="1"/>
  <c r="G630" i="1"/>
  <c r="G691" i="1"/>
  <c r="G631" i="1"/>
  <c r="G703" i="1"/>
  <c r="G701" i="1"/>
  <c r="G677" i="1"/>
  <c r="G683" i="1"/>
  <c r="G668" i="1"/>
  <c r="G675" i="1"/>
  <c r="G704" i="1"/>
  <c r="G678" i="1"/>
  <c r="G713" i="1"/>
  <c r="G643" i="1"/>
  <c r="G633" i="1"/>
  <c r="G697" i="1"/>
  <c r="G699" i="1"/>
  <c r="G628" i="1"/>
  <c r="G707" i="1"/>
  <c r="G674" i="1"/>
  <c r="G676" i="1"/>
  <c r="G696" i="1"/>
  <c r="G709" i="1"/>
  <c r="G632" i="1"/>
  <c r="G639" i="1"/>
  <c r="G705" i="1"/>
  <c r="G687" i="1"/>
  <c r="G686" i="1"/>
  <c r="G700" i="1"/>
  <c r="G671" i="1"/>
  <c r="G682" i="1"/>
  <c r="G629" i="1"/>
  <c r="G694" i="1"/>
  <c r="G681" i="1"/>
  <c r="G672" i="1"/>
  <c r="G712" i="1"/>
  <c r="G679" i="1"/>
  <c r="G680" i="1"/>
  <c r="G670" i="1"/>
  <c r="G698" i="1"/>
  <c r="G673" i="1"/>
  <c r="G692" i="1"/>
  <c r="G627" i="1"/>
  <c r="G647" i="1"/>
  <c r="G684" i="1"/>
  <c r="G637" i="1"/>
  <c r="G635" i="1"/>
  <c r="G685" i="1"/>
  <c r="G716" i="1"/>
  <c r="G641" i="1"/>
  <c r="G708" i="1"/>
  <c r="H628" i="1" l="1"/>
  <c r="H641" i="1" s="1"/>
  <c r="G715" i="1"/>
  <c r="H703" i="1" l="1"/>
  <c r="M703" i="1" s="1"/>
  <c r="H646" i="1"/>
  <c r="H640" i="1"/>
  <c r="H689" i="1"/>
  <c r="M689" i="1" s="1"/>
  <c r="H697" i="1"/>
  <c r="M697" i="1" s="1"/>
  <c r="D151" i="9" s="1"/>
  <c r="H674" i="1"/>
  <c r="H683" i="1"/>
  <c r="M683" i="1" s="1"/>
  <c r="D87" i="9" s="1"/>
  <c r="H642" i="1"/>
  <c r="H707" i="1"/>
  <c r="M707" i="1" s="1"/>
  <c r="H679" i="1"/>
  <c r="M679" i="1" s="1"/>
  <c r="H692" i="1"/>
  <c r="H671" i="1"/>
  <c r="H644" i="1"/>
  <c r="H632" i="1"/>
  <c r="H686" i="1"/>
  <c r="M686" i="1" s="1"/>
  <c r="G87" i="9" s="1"/>
  <c r="H639" i="1"/>
  <c r="H670" i="1"/>
  <c r="M670" i="1" s="1"/>
  <c r="E23" i="9" s="1"/>
  <c r="H706" i="1"/>
  <c r="H698" i="1"/>
  <c r="M698" i="1" s="1"/>
  <c r="E151" i="9" s="1"/>
  <c r="H713" i="1"/>
  <c r="H675" i="1"/>
  <c r="H704" i="1"/>
  <c r="H634" i="1"/>
  <c r="H688" i="1"/>
  <c r="H685" i="1"/>
  <c r="M685" i="1" s="1"/>
  <c r="F87" i="9" s="1"/>
  <c r="H716" i="1"/>
  <c r="H631" i="1"/>
  <c r="H676" i="1"/>
  <c r="M676" i="1" s="1"/>
  <c r="H694" i="1"/>
  <c r="H711" i="1"/>
  <c r="H708" i="1"/>
  <c r="H682" i="1"/>
  <c r="M682" i="1" s="1"/>
  <c r="H636" i="1"/>
  <c r="H637" i="1"/>
  <c r="H633" i="1"/>
  <c r="H678" i="1"/>
  <c r="M678" i="1" s="1"/>
  <c r="H690" i="1"/>
  <c r="M690" i="1" s="1"/>
  <c r="D119" i="9" s="1"/>
  <c r="H668" i="1"/>
  <c r="H699" i="1"/>
  <c r="H709" i="1"/>
  <c r="M709" i="1" s="1"/>
  <c r="I183" i="9" s="1"/>
  <c r="H638" i="1"/>
  <c r="H672" i="1"/>
  <c r="H695" i="1"/>
  <c r="H645" i="1"/>
  <c r="H680" i="1"/>
  <c r="H693" i="1"/>
  <c r="H673" i="1"/>
  <c r="M673" i="1" s="1"/>
  <c r="H23" i="9" s="1"/>
  <c r="H643" i="1"/>
  <c r="H629" i="1"/>
  <c r="H681" i="1"/>
  <c r="M681" i="1" s="1"/>
  <c r="I55" i="9" s="1"/>
  <c r="H630" i="1"/>
  <c r="H691" i="1"/>
  <c r="M691" i="1" s="1"/>
  <c r="E119" i="9" s="1"/>
  <c r="H669" i="1"/>
  <c r="M669" i="1" s="1"/>
  <c r="H712" i="1"/>
  <c r="M712" i="1" s="1"/>
  <c r="H635" i="1"/>
  <c r="H702" i="1"/>
  <c r="H677" i="1"/>
  <c r="H696" i="1"/>
  <c r="M696" i="1" s="1"/>
  <c r="H701" i="1"/>
  <c r="M701" i="1" s="1"/>
  <c r="H710" i="1"/>
  <c r="M710" i="1" s="1"/>
  <c r="C215" i="9" s="1"/>
  <c r="H687" i="1"/>
  <c r="M687" i="1" s="1"/>
  <c r="H87" i="9" s="1"/>
  <c r="H705" i="1"/>
  <c r="H700" i="1"/>
  <c r="M700" i="1" s="1"/>
  <c r="G151" i="9" s="1"/>
  <c r="H684" i="1"/>
  <c r="H647" i="1"/>
  <c r="C183" i="9" l="1"/>
  <c r="C119" i="9"/>
  <c r="G183" i="9"/>
  <c r="G55" i="9"/>
  <c r="C87" i="9"/>
  <c r="F55" i="9"/>
  <c r="H715" i="1"/>
  <c r="H151" i="9"/>
  <c r="C151" i="9"/>
  <c r="D55" i="9"/>
  <c r="I629" i="1"/>
  <c r="I700" i="1" s="1"/>
  <c r="D23" i="9"/>
  <c r="E215" i="9"/>
  <c r="I677" i="1" l="1"/>
  <c r="I703" i="1"/>
  <c r="I676" i="1"/>
  <c r="I673" i="1"/>
  <c r="I643" i="1"/>
  <c r="I637" i="1"/>
  <c r="I680" i="1"/>
  <c r="I638" i="1"/>
  <c r="I668" i="1"/>
  <c r="I713" i="1"/>
  <c r="I675" i="1"/>
  <c r="I690" i="1"/>
  <c r="I711" i="1"/>
  <c r="I631" i="1"/>
  <c r="I647" i="1"/>
  <c r="I695" i="1"/>
  <c r="I692" i="1"/>
  <c r="I684" i="1"/>
  <c r="I683" i="1"/>
  <c r="I671" i="1"/>
  <c r="I644" i="1"/>
  <c r="I681" i="1"/>
  <c r="I710" i="1"/>
  <c r="I696" i="1"/>
  <c r="I642" i="1"/>
  <c r="I689" i="1"/>
  <c r="I712" i="1"/>
  <c r="I641" i="1"/>
  <c r="I635" i="1"/>
  <c r="I687" i="1"/>
  <c r="I672" i="1"/>
  <c r="I670" i="1"/>
  <c r="I682" i="1"/>
  <c r="I640" i="1"/>
  <c r="I645" i="1"/>
  <c r="I694" i="1"/>
  <c r="I708" i="1"/>
  <c r="I716" i="1"/>
  <c r="I701" i="1"/>
  <c r="I674" i="1"/>
  <c r="I679" i="1"/>
  <c r="I686" i="1"/>
  <c r="I704" i="1"/>
  <c r="I702" i="1"/>
  <c r="I639" i="1"/>
  <c r="I688" i="1"/>
  <c r="I632" i="1"/>
  <c r="I691" i="1"/>
  <c r="I699" i="1"/>
  <c r="I707" i="1"/>
  <c r="I709" i="1"/>
  <c r="I633" i="1"/>
  <c r="I634" i="1"/>
  <c r="I706" i="1"/>
  <c r="I630" i="1"/>
  <c r="I678" i="1"/>
  <c r="I693" i="1"/>
  <c r="I705" i="1"/>
  <c r="I646" i="1"/>
  <c r="I697" i="1"/>
  <c r="I636" i="1"/>
  <c r="I669" i="1"/>
  <c r="I685" i="1"/>
  <c r="I698" i="1"/>
  <c r="J630" i="1"/>
  <c r="I715" i="1" l="1"/>
  <c r="J675" i="1"/>
  <c r="J695" i="1"/>
  <c r="J646" i="1"/>
  <c r="J674" i="1"/>
  <c r="J640" i="1"/>
  <c r="J631" i="1"/>
  <c r="J699" i="1"/>
  <c r="J697" i="1"/>
  <c r="J642" i="1"/>
  <c r="J644" i="1"/>
  <c r="K644" i="1" s="1"/>
  <c r="J668" i="1"/>
  <c r="J712" i="1"/>
  <c r="J635" i="1"/>
  <c r="J643" i="1"/>
  <c r="J632" i="1"/>
  <c r="J647" i="1"/>
  <c r="L647" i="1" s="1"/>
  <c r="J693" i="1"/>
  <c r="J638" i="1"/>
  <c r="J669" i="1"/>
  <c r="J636" i="1"/>
  <c r="J637" i="1"/>
  <c r="J703" i="1"/>
  <c r="J700" i="1"/>
  <c r="J633" i="1"/>
  <c r="J710" i="1"/>
  <c r="J688" i="1"/>
  <c r="J706" i="1"/>
  <c r="J709" i="1"/>
  <c r="J692" i="1"/>
  <c r="J713" i="1"/>
  <c r="J682" i="1"/>
  <c r="J645" i="1"/>
  <c r="J685" i="1"/>
  <c r="J687" i="1"/>
  <c r="J671" i="1"/>
  <c r="J686" i="1"/>
  <c r="J678" i="1"/>
  <c r="J705" i="1"/>
  <c r="J676" i="1"/>
  <c r="J684" i="1"/>
  <c r="J694" i="1"/>
  <c r="J683" i="1"/>
  <c r="J690" i="1"/>
  <c r="J701" i="1"/>
  <c r="J677" i="1"/>
  <c r="J673" i="1"/>
  <c r="J691" i="1"/>
  <c r="J689" i="1"/>
  <c r="J707" i="1"/>
  <c r="J696" i="1"/>
  <c r="J672" i="1"/>
  <c r="J716" i="1"/>
  <c r="J641" i="1"/>
  <c r="J639" i="1"/>
  <c r="J680" i="1"/>
  <c r="J670" i="1"/>
  <c r="J634" i="1"/>
  <c r="J702" i="1"/>
  <c r="J681" i="1"/>
  <c r="J708" i="1"/>
  <c r="J679" i="1"/>
  <c r="J698" i="1"/>
  <c r="J711" i="1"/>
  <c r="J704" i="1"/>
  <c r="K716" i="1" l="1"/>
  <c r="K713" i="1"/>
  <c r="K681" i="1"/>
  <c r="K700" i="1"/>
  <c r="K671" i="1"/>
  <c r="K673" i="1"/>
  <c r="K701" i="1"/>
  <c r="K678" i="1"/>
  <c r="K707" i="1"/>
  <c r="K680" i="1"/>
  <c r="K669" i="1"/>
  <c r="K684" i="1"/>
  <c r="K688" i="1"/>
  <c r="K693" i="1"/>
  <c r="K708" i="1"/>
  <c r="K711" i="1"/>
  <c r="K709" i="1"/>
  <c r="K706" i="1"/>
  <c r="K685" i="1"/>
  <c r="K674" i="1"/>
  <c r="K690" i="1"/>
  <c r="K682" i="1"/>
  <c r="K675" i="1"/>
  <c r="K704" i="1"/>
  <c r="K670" i="1"/>
  <c r="K699" i="1"/>
  <c r="K696" i="1"/>
  <c r="K683" i="1"/>
  <c r="K668" i="1"/>
  <c r="K715" i="1" s="1"/>
  <c r="K702" i="1"/>
  <c r="K703" i="1"/>
  <c r="K677" i="1"/>
  <c r="K695" i="1"/>
  <c r="K712" i="1"/>
  <c r="K679" i="1"/>
  <c r="K672" i="1"/>
  <c r="K689" i="1"/>
  <c r="K697" i="1"/>
  <c r="K692" i="1"/>
  <c r="K686" i="1"/>
  <c r="K694" i="1"/>
  <c r="K698" i="1"/>
  <c r="K676" i="1"/>
  <c r="K710" i="1"/>
  <c r="K691" i="1"/>
  <c r="K705" i="1"/>
  <c r="K687" i="1"/>
  <c r="J715" i="1"/>
  <c r="L704" i="1"/>
  <c r="M704" i="1" s="1"/>
  <c r="L695" i="1"/>
  <c r="M695" i="1" s="1"/>
  <c r="L713" i="1"/>
  <c r="M713" i="1" s="1"/>
  <c r="L683" i="1"/>
  <c r="L710" i="1"/>
  <c r="L672" i="1"/>
  <c r="M672" i="1" s="1"/>
  <c r="L696" i="1"/>
  <c r="L692" i="1"/>
  <c r="M692" i="1" s="1"/>
  <c r="L674" i="1"/>
  <c r="M674" i="1" s="1"/>
  <c r="L673" i="1"/>
  <c r="L699" i="1"/>
  <c r="M699" i="1" s="1"/>
  <c r="L690" i="1"/>
  <c r="L698" i="1"/>
  <c r="L670" i="1"/>
  <c r="L697" i="1"/>
  <c r="L691" i="1"/>
  <c r="L687" i="1"/>
  <c r="L671" i="1"/>
  <c r="M671" i="1" s="1"/>
  <c r="L685" i="1"/>
  <c r="L676" i="1"/>
  <c r="L711" i="1"/>
  <c r="M711" i="1" s="1"/>
  <c r="L679" i="1"/>
  <c r="L682" i="1"/>
  <c r="L668" i="1"/>
  <c r="L712" i="1"/>
  <c r="L677" i="1"/>
  <c r="M677" i="1" s="1"/>
  <c r="L701" i="1"/>
  <c r="L688" i="1"/>
  <c r="M688" i="1" s="1"/>
  <c r="L703" i="1"/>
  <c r="L684" i="1"/>
  <c r="M684" i="1" s="1"/>
  <c r="L675" i="1"/>
  <c r="M675" i="1" s="1"/>
  <c r="L681" i="1"/>
  <c r="L705" i="1"/>
  <c r="M705" i="1" s="1"/>
  <c r="L693" i="1"/>
  <c r="M693" i="1" s="1"/>
  <c r="L686" i="1"/>
  <c r="L706" i="1"/>
  <c r="M706" i="1" s="1"/>
  <c r="L702" i="1"/>
  <c r="M702" i="1" s="1"/>
  <c r="L707" i="1"/>
  <c r="L680" i="1"/>
  <c r="M680" i="1" s="1"/>
  <c r="L669" i="1"/>
  <c r="L708" i="1"/>
  <c r="M708" i="1" s="1"/>
  <c r="L689" i="1"/>
  <c r="L716" i="1"/>
  <c r="L700" i="1"/>
  <c r="L678" i="1"/>
  <c r="L709" i="1"/>
  <c r="L694" i="1"/>
  <c r="M694" i="1" s="1"/>
  <c r="I87" i="9" l="1"/>
  <c r="H55" i="9"/>
  <c r="F151" i="9"/>
  <c r="G119" i="9"/>
  <c r="E87" i="9"/>
  <c r="E55" i="9"/>
  <c r="F23" i="9"/>
  <c r="G23" i="9"/>
  <c r="I119" i="9"/>
  <c r="F183" i="9"/>
  <c r="L715" i="1"/>
  <c r="M668" i="1"/>
  <c r="F119" i="9"/>
  <c r="H119" i="9"/>
  <c r="C55" i="9"/>
  <c r="F215" i="9"/>
  <c r="H183" i="9"/>
  <c r="I151" i="9"/>
  <c r="E183" i="9"/>
  <c r="D215" i="9"/>
  <c r="I23" i="9"/>
  <c r="D183" i="9"/>
  <c r="C23" i="9" l="1"/>
  <c r="M715" i="1"/>
</calcChain>
</file>

<file path=xl/sharedStrings.xml><?xml version="1.0" encoding="utf-8"?>
<sst xmlns="http://schemas.openxmlformats.org/spreadsheetml/2006/main" count="4672" uniqueCount="1281">
  <si>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</si>
  <si>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</si>
  <si>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</si>
  <si>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</si>
  <si>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</si>
  <si>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</si>
  <si>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</si>
  <si>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</si>
  <si>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</si>
  <si>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</si>
  <si>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</si>
  <si>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</si>
  <si>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</si>
  <si>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</si>
  <si>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</si>
  <si>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</si>
  <si>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</si>
  <si>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</si>
  <si>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</si>
  <si>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</si>
  <si>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</si>
  <si>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</si>
  <si>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</si>
  <si>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</si>
  <si>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</si>
  <si>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</si>
  <si>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</si>
  <si>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</si>
  <si>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</si>
  <si>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</si>
  <si>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</si>
  <si>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</si>
  <si>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</si>
  <si>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</si>
  <si>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</si>
  <si>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</si>
  <si>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</si>
  <si>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</si>
  <si>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</si>
  <si>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</si>
  <si>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</si>
  <si>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</si>
  <si>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</si>
  <si>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</si>
  <si>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</si>
  <si>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</si>
  <si>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</si>
  <si>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</si>
  <si>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</si>
  <si>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</si>
  <si>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</si>
  <si>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</si>
  <si>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</si>
  <si>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</si>
  <si>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</si>
  <si>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</si>
  <si>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</si>
  <si>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</si>
  <si>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</si>
  <si>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</si>
  <si>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</si>
  <si>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</si>
  <si>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</si>
  <si>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</si>
  <si>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</si>
  <si>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</si>
  <si>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</si>
  <si>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</si>
  <si>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</si>
  <si>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</si>
  <si>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</si>
  <si>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</si>
  <si>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</si>
  <si>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</si>
  <si>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</si>
  <si>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</si>
  <si>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</si>
  <si>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</si>
  <si>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</si>
  <si>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</si>
  <si>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</si>
  <si>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</si>
  <si>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</si>
  <si>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</si>
  <si>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</si>
  <si>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</si>
  <si>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</si>
  <si>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</si>
  <si>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</si>
  <si>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</si>
  <si>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</si>
  <si>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</si>
  <si>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</si>
  <si>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</si>
  <si>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</si>
  <si>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</si>
  <si>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</si>
  <si>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</si>
  <si>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</si>
  <si>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</si>
  <si>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</si>
  <si>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</si>
  <si>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</si>
  <si>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</si>
  <si>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</si>
  <si>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</si>
  <si>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</si>
  <si>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</si>
  <si>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</si>
  <si>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</si>
  <si>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</si>
  <si>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</si>
  <si>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</si>
  <si>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</si>
  <si>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</si>
  <si>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</si>
  <si>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</si>
  <si>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</si>
  <si>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</si>
  <si>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</si>
  <si>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</si>
  <si>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</si>
  <si>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</si>
  <si>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</si>
  <si>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</si>
  <si>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</si>
  <si>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</si>
  <si>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</si>
  <si>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</si>
  <si>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</si>
  <si>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</si>
  <si>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</si>
  <si>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</si>
  <si>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</si>
  <si>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</si>
  <si>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</si>
  <si>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</si>
  <si>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</si>
  <si>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</si>
  <si>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</si>
  <si>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</si>
  <si>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</si>
  <si>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</si>
  <si>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</si>
  <si>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</si>
  <si>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</si>
  <si>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</si>
  <si>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</si>
  <si>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</si>
  <si>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</si>
  <si>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</si>
  <si>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</si>
  <si>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</si>
  <si>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</si>
  <si>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</si>
  <si>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</si>
  <si>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</si>
  <si>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</si>
  <si>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</si>
  <si>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</si>
  <si>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</si>
  <si>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</si>
  <si>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</si>
  <si>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</si>
  <si>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</si>
  <si>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</si>
  <si>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</si>
  <si>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</si>
  <si>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</si>
  <si>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</si>
  <si>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</si>
  <si>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</si>
  <si>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</si>
  <si>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</si>
  <si>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</si>
  <si>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</si>
  <si>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</si>
  <si>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</si>
  <si>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</si>
  <si>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</si>
  <si>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</si>
  <si>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</si>
  <si>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</si>
  <si>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</si>
  <si>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</si>
  <si>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</si>
  <si>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</si>
  <si>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</si>
  <si>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</si>
  <si>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</si>
  <si>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</si>
  <si>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</si>
  <si>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</si>
  <si>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</si>
  <si>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</si>
  <si>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</si>
  <si>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</si>
  <si>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</si>
  <si>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</si>
  <si>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</si>
  <si>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</si>
  <si>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</si>
  <si>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</si>
  <si>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</si>
  <si>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</si>
  <si>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</si>
  <si>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</si>
  <si>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</si>
  <si>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</si>
  <si>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</si>
  <si>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</si>
  <si>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</si>
  <si>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</si>
  <si>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</si>
  <si>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</si>
  <si>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</si>
  <si>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</si>
  <si>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</si>
  <si>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</si>
  <si>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</si>
  <si>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</si>
  <si>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</si>
  <si>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</si>
  <si>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</si>
  <si>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</si>
  <si>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</si>
  <si>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</si>
  <si>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</si>
  <si>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</si>
  <si>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</si>
  <si>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</si>
  <si>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</si>
  <si>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</si>
  <si>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</si>
  <si>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</si>
  <si>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</si>
  <si>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</si>
  <si>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</si>
  <si>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</si>
  <si>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</si>
  <si>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</si>
  <si>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</si>
  <si>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</si>
  <si>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</si>
  <si>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</si>
  <si>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</si>
  <si>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</si>
  <si>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</si>
  <si>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</si>
  <si>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</si>
  <si>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</si>
  <si>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</si>
  <si>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</si>
  <si>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</si>
  <si>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</si>
  <si>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</si>
  <si>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</si>
  <si>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</si>
  <si>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</si>
  <si>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</si>
  <si>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</si>
  <si>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</si>
  <si>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</si>
  <si>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</si>
  <si>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</si>
  <si>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</si>
  <si>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</si>
  <si>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</si>
  <si>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</si>
  <si>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</si>
  <si>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</si>
  <si>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</si>
  <si>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</si>
  <si>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</si>
  <si>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</si>
  <si>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</si>
  <si>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</si>
  <si>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</si>
  <si>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</si>
  <si>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</si>
  <si>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</si>
  <si>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</si>
  <si>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</si>
  <si>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</si>
  <si>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</si>
  <si>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</si>
  <si>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</si>
  <si>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</si>
  <si>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</si>
  <si>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</si>
  <si>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</si>
  <si>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</si>
  <si>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</si>
  <si>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</si>
  <si>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</si>
  <si>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</si>
  <si>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</si>
  <si>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</si>
  <si>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</si>
  <si>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</si>
  <si>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</si>
  <si>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</si>
  <si>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</si>
  <si>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</si>
  <si>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</si>
  <si>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</si>
  <si>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</si>
  <si>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</si>
  <si>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</si>
  <si>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</si>
  <si>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</si>
  <si>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</si>
  <si>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</si>
  <si>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</si>
  <si>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</si>
  <si>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</si>
  <si>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</si>
  <si>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</si>
  <si>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</si>
  <si>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</si>
  <si>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</si>
  <si>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</si>
  <si>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</si>
  <si>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</si>
  <si>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</si>
  <si>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</si>
  <si>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</si>
  <si>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</si>
  <si>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</si>
  <si>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</si>
  <si>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</si>
  <si>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</si>
  <si>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</si>
  <si>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</si>
  <si>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</si>
  <si>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</si>
  <si>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</si>
  <si>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</si>
  <si>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</si>
  <si>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</si>
  <si>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</si>
  <si>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</si>
  <si>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</si>
  <si>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</si>
  <si>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</si>
  <si>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</si>
  <si>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</si>
  <si>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</si>
  <si>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</si>
  <si>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</si>
  <si>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</si>
  <si>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</si>
  <si>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</si>
  <si>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</si>
  <si>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</si>
  <si>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</si>
  <si>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</si>
  <si>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</si>
  <si>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</si>
  <si>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</si>
  <si>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</si>
  <si>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</si>
  <si>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</si>
  <si>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</si>
  <si>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</si>
  <si>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</si>
  <si>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</si>
  <si>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</si>
  <si>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</si>
  <si>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</si>
  <si>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</si>
  <si>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</si>
  <si>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</si>
  <si>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</si>
  <si>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</si>
  <si>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</si>
  <si>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</si>
  <si>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</si>
  <si>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</si>
  <si>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</si>
  <si>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</si>
  <si>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</si>
  <si>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</si>
  <si>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</si>
  <si>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</si>
  <si>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</si>
  <si>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</si>
  <si>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</si>
  <si>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</si>
  <si>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</si>
  <si>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</si>
  <si>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</si>
  <si>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</si>
  <si>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</si>
  <si>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</si>
  <si>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</si>
  <si>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</si>
  <si>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</si>
  <si>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</si>
  <si>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</si>
  <si>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</si>
  <si>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</si>
  <si>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</si>
  <si>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</si>
  <si>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</si>
  <si>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</si>
  <si>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</si>
  <si>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</si>
  <si>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</si>
  <si>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</si>
  <si>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</si>
  <si>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</si>
  <si>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</si>
  <si>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</si>
  <si>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</si>
  <si>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</si>
  <si>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</si>
  <si>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</si>
  <si>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</si>
  <si>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</si>
  <si>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</si>
  <si>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</si>
  <si>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</si>
  <si>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</si>
  <si>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</si>
  <si>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</si>
  <si>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</si>
  <si>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</si>
  <si>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</si>
  <si>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</si>
  <si>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</si>
  <si>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</si>
  <si>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</si>
  <si>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</si>
  <si>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</si>
  <si>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</si>
  <si>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</si>
  <si>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</si>
  <si>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</si>
  <si>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</si>
  <si>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</si>
  <si>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</si>
  <si>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</si>
  <si>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</si>
  <si>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</si>
  <si>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</si>
  <si>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</si>
  <si>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</si>
  <si>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</si>
  <si>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</si>
  <si>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</si>
  <si>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</si>
  <si>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</si>
  <si>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</si>
  <si>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</si>
  <si>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</si>
  <si>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</si>
  <si>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</si>
  <si>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</si>
  <si>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</si>
  <si>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</si>
  <si>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</si>
  <si>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</si>
  <si>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</si>
  <si>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</si>
  <si>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</si>
  <si>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</si>
  <si>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</si>
  <si>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</si>
  <si>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</si>
  <si>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</si>
  <si>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</si>
  <si>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</si>
  <si>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</si>
  <si>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</si>
  <si>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</si>
  <si>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</si>
  <si>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</si>
  <si>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</si>
  <si>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</si>
  <si>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</si>
  <si>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</si>
  <si>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</si>
  <si>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</si>
  <si>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</si>
  <si>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</si>
  <si>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</si>
  <si>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</si>
  <si>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</si>
  <si>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</si>
  <si>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</si>
  <si>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</si>
  <si>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</si>
  <si>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</si>
  <si>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</si>
  <si>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</si>
  <si>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</si>
  <si>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</si>
  <si>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</si>
  <si>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</si>
  <si>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</si>
  <si>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</si>
  <si>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</si>
  <si>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</si>
  <si>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</si>
  <si>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</si>
  <si>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</si>
  <si>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</si>
  <si>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</si>
  <si>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</si>
  <si>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</si>
  <si>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</si>
  <si>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</si>
  <si>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</si>
  <si>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</si>
  <si>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</si>
  <si>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</si>
  <si>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</si>
  <si>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</si>
  <si>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</si>
  <si>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</si>
  <si>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</si>
  <si>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</si>
  <si>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</si>
  <si>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</si>
  <si>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</si>
  <si>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</si>
  <si>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</si>
  <si>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</si>
  <si>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</si>
  <si>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</si>
  <si>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</si>
  <si>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</si>
  <si>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</si>
  <si>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</si>
  <si>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</si>
  <si>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</si>
  <si>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</si>
  <si>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</si>
  <si>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</si>
  <si>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</si>
  <si>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</si>
  <si>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</si>
  <si>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</si>
  <si>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</si>
  <si>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</si>
  <si>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</si>
  <si>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</si>
  <si>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</si>
  <si>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</si>
  <si>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</si>
  <si>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</si>
  <si>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</si>
  <si>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</si>
  <si>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</si>
  <si>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</si>
  <si>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</si>
  <si>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</si>
  <si>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</si>
  <si>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</si>
  <si>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</si>
  <si>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</si>
  <si>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</si>
  <si>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</si>
  <si>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</si>
  <si>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</si>
  <si>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</si>
  <si>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</si>
  <si>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</si>
  <si>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</si>
  <si>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</si>
  <si>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</si>
  <si>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</si>
  <si>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</si>
  <si>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</si>
  <si>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</si>
  <si>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</si>
  <si>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</si>
  <si>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</si>
  <si>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</si>
  <si>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</si>
  <si>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</si>
  <si>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</si>
  <si>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</si>
  <si>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</si>
  <si>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</si>
  <si>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</si>
  <si>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</si>
  <si>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</si>
  <si>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</si>
  <si>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</si>
  <si>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</si>
  <si>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</si>
  <si>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</si>
  <si>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</si>
  <si>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</si>
  <si>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</si>
  <si>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</si>
  <si>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</si>
  <si>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</si>
  <si>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</si>
  <si>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</si>
  <si>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</si>
  <si>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</si>
  <si>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</si>
  <si>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</si>
  <si>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</si>
  <si>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</si>
  <si>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</si>
  <si>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</si>
  <si>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</si>
  <si>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</si>
  <si>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</si>
  <si>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</si>
  <si>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</si>
  <si>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</si>
  <si>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</si>
  <si>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</si>
  <si>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</si>
  <si>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</si>
  <si>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</si>
  <si>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</si>
  <si>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</si>
  <si>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</si>
  <si>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</si>
  <si>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</si>
  <si>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</si>
  <si>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</si>
  <si>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</si>
  <si>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</si>
  <si>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</si>
  <si>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</si>
  <si>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</si>
  <si>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</si>
  <si>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</si>
  <si>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</si>
  <si>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</si>
  <si>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</si>
  <si>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</si>
  <si>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</si>
  <si>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</si>
  <si>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</si>
  <si>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</si>
  <si>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</si>
  <si>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</si>
  <si>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</si>
  <si>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</si>
  <si>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</si>
  <si>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</si>
  <si>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</si>
  <si>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</si>
  <si>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</si>
  <si>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</si>
  <si>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</si>
  <si>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</si>
  <si>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</si>
  <si>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</si>
  <si>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</si>
  <si>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</si>
  <si>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</si>
  <si>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</si>
  <si>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</si>
  <si>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</si>
  <si>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</si>
  <si>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</si>
  <si>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</si>
  <si>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</si>
  <si>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</si>
  <si>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</si>
  <si>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</si>
  <si>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</si>
  <si>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</si>
  <si>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</si>
  <si>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</si>
  <si>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</si>
  <si>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</si>
  <si>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</si>
  <si>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</si>
  <si>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</si>
  <si>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</si>
  <si>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</si>
  <si>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</si>
  <si>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</si>
  <si>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</si>
  <si>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</si>
  <si>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</si>
  <si>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</si>
  <si>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</si>
  <si>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</si>
  <si>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</si>
  <si>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</si>
  <si>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</si>
  <si>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</si>
  <si>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</si>
  <si>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</si>
  <si>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</si>
  <si>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</si>
  <si>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</si>
  <si>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</si>
  <si>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</si>
  <si>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</si>
  <si>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</si>
  <si>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</si>
  <si>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</si>
  <si>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</si>
  <si>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</si>
  <si>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</si>
  <si>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</si>
  <si>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</si>
  <si>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</si>
  <si>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</si>
  <si>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</si>
  <si>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</si>
  <si>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</si>
  <si>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</si>
  <si>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</si>
  <si>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</si>
  <si>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</si>
  <si>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</si>
  <si>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</si>
  <si>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</si>
  <si>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</si>
  <si>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</si>
  <si>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</si>
  <si>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</si>
  <si>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</si>
  <si>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</si>
  <si>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</si>
  <si>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</si>
  <si>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</si>
  <si>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</si>
  <si>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</si>
  <si>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</si>
  <si>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</si>
  <si>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</si>
  <si>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</si>
  <si>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</si>
  <si>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</si>
  <si>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</si>
  <si>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</si>
  <si>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</si>
  <si>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</si>
  <si>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</si>
  <si>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</si>
  <si>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</si>
  <si>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</si>
  <si>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</si>
  <si>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</si>
  <si>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</si>
  <si>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</si>
  <si>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</si>
  <si>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</si>
  <si>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</si>
  <si>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</si>
  <si>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</si>
  <si>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</si>
  <si>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</si>
  <si>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</si>
  <si>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</si>
  <si>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</si>
  <si>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</si>
  <si>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</si>
  <si>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</si>
  <si>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</si>
  <si>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</si>
  <si>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</si>
  <si>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</si>
  <si>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</si>
  <si>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</si>
  <si>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</si>
  <si>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</si>
  <si>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</si>
  <si>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</si>
  <si>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</si>
  <si>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</si>
  <si>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</si>
  <si>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</si>
  <si>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</si>
  <si>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</si>
  <si>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</si>
  <si>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</si>
  <si>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</si>
  <si>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</si>
  <si>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</si>
  <si>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</si>
  <si>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</si>
  <si>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</si>
  <si>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</si>
  <si>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</si>
  <si>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</si>
  <si>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</si>
  <si>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</si>
  <si>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</si>
  <si>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</si>
  <si>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</si>
  <si>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</si>
  <si>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</si>
  <si>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</si>
  <si>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</si>
  <si>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</si>
  <si>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</si>
  <si>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</si>
  <si>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</si>
  <si>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</si>
  <si>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</si>
  <si>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</si>
  <si>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</si>
  <si>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</si>
  <si>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</si>
  <si>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</si>
  <si>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</si>
  <si>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</si>
  <si>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</si>
  <si>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</si>
  <si>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</si>
  <si>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</si>
  <si>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</si>
  <si>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</si>
  <si>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</si>
  <si>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</si>
  <si>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</si>
  <si>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</si>
  <si>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</si>
  <si>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</si>
  <si>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</si>
  <si>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</si>
  <si>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</si>
  <si>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</si>
  <si>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</si>
  <si>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</si>
  <si>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</si>
  <si>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</si>
  <si>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</si>
  <si>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</si>
  <si>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</si>
  <si>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</si>
  <si>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</si>
  <si>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</si>
  <si>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</si>
  <si>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</si>
  <si>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</si>
  <si>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</si>
  <si>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</si>
  <si>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</si>
  <si>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</si>
  <si>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</si>
  <si>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</si>
  <si>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</si>
  <si>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</si>
  <si>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</si>
  <si>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</si>
  <si>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</si>
  <si>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</si>
  <si>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</si>
  <si>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</si>
  <si>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</si>
  <si>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</si>
  <si>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</si>
  <si>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</si>
  <si>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</si>
  <si>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</si>
  <si>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</si>
  <si>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</si>
  <si>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</si>
  <si>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</si>
  <si>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</si>
  <si>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</si>
  <si>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</si>
  <si>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</si>
  <si>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</si>
  <si>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</si>
  <si>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</si>
  <si>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</si>
  <si>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</si>
  <si>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</si>
  <si>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</si>
  <si>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</si>
  <si>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</si>
  <si>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</si>
  <si>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</si>
  <si>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</si>
  <si>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</si>
  <si>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</si>
  <si>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</si>
  <si>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</si>
  <si>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</si>
  <si>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</si>
  <si>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</si>
  <si>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</si>
  <si>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</si>
  <si>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</si>
  <si>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</si>
  <si>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</si>
  <si>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</si>
  <si>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</si>
  <si>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</si>
  <si>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</si>
  <si>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</si>
  <si>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</si>
  <si>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</si>
  <si>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</si>
  <si>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</si>
  <si>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</si>
  <si>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</si>
  <si>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</si>
  <si>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</si>
  <si>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</si>
  <si>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</si>
  <si>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</si>
  <si>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</si>
  <si>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</si>
  <si>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</si>
  <si>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</si>
  <si>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</si>
  <si>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</si>
  <si>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</si>
  <si>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</si>
  <si>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</si>
  <si>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</si>
  <si>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</si>
  <si>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</si>
  <si>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</si>
  <si>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</si>
  <si>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</si>
  <si>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</si>
  <si>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</si>
  <si>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</si>
  <si>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</si>
  <si>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</si>
  <si>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</si>
  <si>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</si>
  <si>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</si>
  <si>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</si>
  <si>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</si>
  <si>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</si>
  <si>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</si>
  <si>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</si>
  <si>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</si>
  <si>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</si>
  <si>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</si>
  <si>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</si>
  <si>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</si>
  <si>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</si>
  <si>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</si>
  <si>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</si>
  <si>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</si>
  <si>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</si>
  <si>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</si>
  <si>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</si>
  <si>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</si>
  <si>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</si>
  <si>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</si>
  <si>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</si>
  <si>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</si>
  <si>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</si>
  <si>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</si>
  <si>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</si>
  <si>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</si>
  <si>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</si>
  <si>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</si>
  <si>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</si>
  <si>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</si>
  <si>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</si>
  <si>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</si>
  <si>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</si>
  <si>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</si>
  <si>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</si>
  <si>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</si>
  <si>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</si>
  <si>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</si>
  <si>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</si>
  <si>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</si>
  <si>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</si>
  <si>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</si>
  <si>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</si>
  <si>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</si>
  <si>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</si>
  <si>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</si>
  <si>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</si>
  <si>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</si>
  <si>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</si>
  <si>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</si>
  <si>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</si>
  <si>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</si>
  <si>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</si>
  <si>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</si>
  <si>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</si>
  <si>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</si>
  <si>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</si>
  <si>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</si>
  <si>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</si>
  <si>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</si>
  <si>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</si>
  <si>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</si>
  <si>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</si>
  <si>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</si>
  <si>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</si>
  <si>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</si>
  <si>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</si>
  <si>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</si>
  <si>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</si>
  <si>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</si>
  <si>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</si>
  <si>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</si>
  <si>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</si>
  <si>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</si>
  <si>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</si>
  <si>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</si>
  <si>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</si>
  <si>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</si>
  <si>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</si>
  <si>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</si>
  <si>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</si>
  <si>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</si>
  <si>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</si>
  <si>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</si>
  <si>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</si>
  <si>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</si>
  <si>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</si>
  <si>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</si>
  <si>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</si>
  <si>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</si>
  <si>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</si>
  <si>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</si>
  <si>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</si>
  <si>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</si>
  <si>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</si>
  <si>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</si>
  <si>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</si>
  <si>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</si>
  <si>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</si>
  <si>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</si>
  <si>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</si>
  <si>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</si>
  <si>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</si>
  <si>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</si>
  <si>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</si>
  <si>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</si>
  <si>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</si>
  <si>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</si>
  <si>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</si>
  <si>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</si>
  <si>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</si>
  <si>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</si>
  <si>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</si>
  <si>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</si>
  <si>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</si>
  <si>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</si>
  <si>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</si>
  <si>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</si>
  <si>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</si>
  <si>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</si>
  <si>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</si>
  <si>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</si>
  <si>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</si>
  <si>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</si>
  <si>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</si>
  <si>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</si>
  <si>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</si>
  <si>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</si>
  <si>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</si>
  <si>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</si>
  <si>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</si>
  <si>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</si>
  <si>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</si>
  <si>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</si>
  <si>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</si>
  <si>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</si>
  <si>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</si>
  <si>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</si>
  <si>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</si>
  <si>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</si>
  <si>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</si>
  <si>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</si>
  <si>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</si>
  <si>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</si>
  <si>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</si>
  <si>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</si>
  <si>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</si>
  <si>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</si>
  <si>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</si>
  <si>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</si>
  <si>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</si>
  <si>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</si>
  <si>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</si>
  <si>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</si>
  <si>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</si>
  <si>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</si>
  <si>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</si>
  <si>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</si>
  <si>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</si>
  <si>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</si>
  <si>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</si>
  <si>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</si>
  <si>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</si>
  <si>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</si>
  <si>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</si>
  <si>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</si>
  <si>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</si>
  <si>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</si>
  <si>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</si>
  <si>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</si>
  <si>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</si>
  <si>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</si>
  <si>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</si>
  <si>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</si>
  <si>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</si>
  <si>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</si>
  <si>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</si>
  <si>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</si>
  <si>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</si>
  <si>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</si>
  <si>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</si>
  <si>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</si>
  <si>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</si>
  <si>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</si>
  <si>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</si>
  <si>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</si>
  <si>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</si>
  <si>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</si>
  <si>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</si>
  <si>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</si>
  <si>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</si>
  <si>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</si>
  <si>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</si>
  <si>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</si>
  <si>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</si>
  <si>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</si>
  <si>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</si>
  <si>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</si>
  <si>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</si>
  <si>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</si>
  <si>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</si>
  <si>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</si>
  <si>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</si>
  <si>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</si>
  <si>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</si>
  <si>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</si>
  <si>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</si>
  <si>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</si>
  <si>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</si>
  <si>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</si>
  <si>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</si>
  <si>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</si>
  <si>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</si>
  <si>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</si>
  <si>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</si>
  <si>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</si>
  <si>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</si>
  <si>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</si>
  <si>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</si>
  <si>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</si>
  <si>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</si>
  <si>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</si>
  <si>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</si>
  <si>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</si>
  <si>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</si>
  <si>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</si>
  <si>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</si>
  <si>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</si>
  <si>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</si>
  <si>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</si>
  <si>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</si>
  <si>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</si>
  <si>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</si>
  <si>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</si>
  <si>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</si>
  <si>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</si>
  <si>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</si>
  <si>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</si>
  <si>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</si>
  <si>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</si>
  <si>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</si>
  <si>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</si>
  <si>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</si>
  <si>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</si>
  <si>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</si>
  <si>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</si>
  <si>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</si>
  <si>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</si>
  <si>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</si>
  <si>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</si>
  <si>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</si>
  <si>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</si>
  <si>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</si>
  <si>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</si>
  <si>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</si>
  <si>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</si>
  <si>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</si>
  <si>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</si>
  <si>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</si>
  <si>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</si>
  <si>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</si>
  <si>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</si>
  <si>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</si>
  <si>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</si>
  <si>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</si>
  <si>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</si>
  <si>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</si>
  <si>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</si>
  <si>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</si>
  <si>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</si>
  <si>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</si>
  <si>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</si>
  <si>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</si>
  <si>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</si>
  <si>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</si>
  <si>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</si>
  <si>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</si>
  <si>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</si>
  <si>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</si>
  <si>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</si>
  <si>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</si>
  <si>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</si>
  <si>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</si>
  <si>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</si>
  <si>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</si>
  <si>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</si>
  <si>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</si>
  <si>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</si>
  <si>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</si>
  <si>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</si>
  <si>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</si>
  <si>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</si>
  <si>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</si>
  <si>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</si>
  <si>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</si>
  <si>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</si>
  <si>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</si>
  <si>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</si>
  <si>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</si>
  <si>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</si>
  <si>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</si>
  <si>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</si>
  <si>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</si>
  <si>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</si>
  <si>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</si>
  <si>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</si>
  <si>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</si>
  <si>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</si>
  <si>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</si>
  <si>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</si>
  <si>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</si>
  <si>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</si>
  <si>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</si>
  <si>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</si>
  <si>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</si>
  <si>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</si>
  <si>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</si>
  <si>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</si>
  <si>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</si>
  <si>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</si>
  <si>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</si>
  <si>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</si>
  <si>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</si>
  <si>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</si>
  <si>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</si>
  <si>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</si>
  <si>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</si>
  <si>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</si>
  <si>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</si>
  <si>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</si>
  <si>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</si>
  <si>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</si>
  <si>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</si>
  <si>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</si>
  <si>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12/31/2019</t>
  </si>
  <si>
    <t xml:space="preserve"> </t>
  </si>
  <si>
    <t>2017</t>
  </si>
  <si>
    <t>008</t>
  </si>
  <si>
    <t>Klickitat County Public Hospital District #1</t>
  </si>
  <si>
    <t>310 S Roosevelt</t>
  </si>
  <si>
    <t>310 S Roosebelt</t>
  </si>
  <si>
    <t>Goldendale</t>
  </si>
  <si>
    <t>Klickitat</t>
  </si>
  <si>
    <t>Leslie Hiebert</t>
  </si>
  <si>
    <t>Jamie Slater</t>
  </si>
  <si>
    <t>Mark Sigfrinius</t>
  </si>
  <si>
    <t>509.773.4022</t>
  </si>
  <si>
    <t>509.773.4714</t>
  </si>
  <si>
    <t>Jim Heilsberg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</si>
</sst>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7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37" fontId="0" fillId="0" borderId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37" fontId="16" fillId="0" borderId="0"/>
    <xf numFmtId="9" fontId="3" fillId="0" borderId="0" applyFont="0" applyFill="0" applyBorder="0" applyAlignment="0" applyProtection="0"/>
    <xf numFmtId="37" fontId="16" fillId="0" borderId="0"/>
    <xf numFmtId="37" fontId="16" fillId="0" borderId="0"/>
    <xf numFmtId="37" fontId="16" fillId="0" borderId="0"/>
    <xf numFmtId="43" fontId="2" fillId="0" borderId="0" applyFont="0" applyFill="0" applyBorder="0" applyAlignment="0" applyProtection="0"/>
    <xf numFmtId="37" fontId="16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</cellStyleXfs>
  <cellXfs count="288">
    <xf numFmtId="37" fontId="0" fillId="0" borderId="0" xfId="0"/>
    <xf numFmtId="37" fontId="5" fillId="0" borderId="0" xfId="0" applyFont="1" applyBorder="1"/>
    <xf numFmtId="37" fontId="5" fillId="0" borderId="0" xfId="0" applyFont="1"/>
    <xf numFmtId="37" fontId="4" fillId="0" borderId="0" xfId="0" applyFont="1" applyFill="1" applyBorder="1"/>
    <xf numFmtId="37" fontId="6" fillId="0" borderId="0" xfId="0" applyNumberFormat="1" applyFont="1" applyFill="1" applyBorder="1" applyAlignment="1" applyProtection="1">
      <alignment horizontal="centerContinuous"/>
    </xf>
    <xf numFmtId="37" fontId="7" fillId="0" borderId="0" xfId="0" applyFont="1" applyBorder="1" applyAlignment="1">
      <alignment horizontal="centerContinuous"/>
    </xf>
    <xf numFmtId="37" fontId="7" fillId="0" borderId="0" xfId="0" applyFont="1" applyAlignment="1">
      <alignment horizontal="centerContinuous"/>
    </xf>
    <xf numFmtId="37" fontId="7" fillId="0" borderId="0" xfId="0" applyFont="1"/>
    <xf numFmtId="37" fontId="7" fillId="0" borderId="0" xfId="0" applyFont="1" applyBorder="1"/>
    <xf numFmtId="37" fontId="6" fillId="0" borderId="0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Border="1" applyAlignment="1" applyProtection="1">
      <alignment horizontal="left"/>
    </xf>
    <xf numFmtId="37" fontId="8" fillId="0" borderId="0" xfId="0" applyFont="1"/>
    <xf numFmtId="37" fontId="7" fillId="0" borderId="0" xfId="0" quotePrefix="1" applyNumberFormat="1" applyFont="1" applyBorder="1" applyAlignment="1" applyProtection="1">
      <alignment horizontal="center"/>
    </xf>
    <xf numFmtId="37" fontId="6" fillId="0" borderId="1" xfId="0" applyNumberFormat="1" applyFont="1" applyFill="1" applyBorder="1" applyProtection="1"/>
    <xf numFmtId="37" fontId="6" fillId="0" borderId="2" xfId="0" applyNumberFormat="1" applyFont="1" applyFill="1" applyBorder="1" applyAlignment="1" applyProtection="1"/>
    <xf numFmtId="37" fontId="6" fillId="0" borderId="2" xfId="0" applyNumberFormat="1" applyFont="1" applyFill="1" applyBorder="1" applyAlignment="1" applyProtection="1">
      <alignment horizontal="center"/>
    </xf>
    <xf numFmtId="37" fontId="6" fillId="0" borderId="3" xfId="0" applyNumberFormat="1" applyFont="1" applyFill="1" applyBorder="1" applyProtection="1"/>
    <xf numFmtId="37" fontId="6" fillId="0" borderId="4" xfId="0" applyNumberFormat="1" applyFont="1" applyFill="1" applyBorder="1" applyAlignment="1" applyProtection="1"/>
    <xf numFmtId="37" fontId="6" fillId="0" borderId="4" xfId="0" applyNumberFormat="1" applyFont="1" applyFill="1" applyBorder="1" applyAlignment="1" applyProtection="1">
      <alignment horizontal="center"/>
    </xf>
    <xf numFmtId="37" fontId="6" fillId="0" borderId="3" xfId="0" applyFont="1" applyFill="1" applyBorder="1"/>
    <xf numFmtId="37" fontId="6" fillId="0" borderId="4" xfId="0" applyFont="1" applyFill="1" applyBorder="1"/>
    <xf numFmtId="37" fontId="6" fillId="0" borderId="2" xfId="0" applyNumberFormat="1" applyFont="1" applyFill="1" applyBorder="1" applyProtection="1"/>
    <xf numFmtId="37" fontId="6" fillId="0" borderId="2" xfId="0" quotePrefix="1" applyNumberFormat="1" applyFont="1" applyFill="1" applyBorder="1" applyAlignment="1" applyProtection="1">
      <alignment horizontal="left"/>
    </xf>
    <xf numFmtId="37" fontId="6" fillId="0" borderId="1" xfId="0" applyNumberFormat="1" applyFont="1" applyFill="1" applyBorder="1" applyAlignment="1" applyProtection="1"/>
    <xf numFmtId="37" fontId="6" fillId="0" borderId="2" xfId="0" applyFont="1" applyFill="1" applyBorder="1"/>
    <xf numFmtId="37" fontId="6" fillId="0" borderId="4" xfId="0" applyFont="1" applyFill="1" applyBorder="1" applyAlignment="1">
      <alignment horizontal="center"/>
    </xf>
    <xf numFmtId="39" fontId="6" fillId="0" borderId="2" xfId="0" applyNumberFormat="1" applyFont="1" applyFill="1" applyBorder="1" applyAlignment="1" applyProtection="1"/>
    <xf numFmtId="37" fontId="7" fillId="0" borderId="2" xfId="0" applyFont="1" applyBorder="1"/>
    <xf numFmtId="37" fontId="7" fillId="0" borderId="4" xfId="0" applyFont="1" applyBorder="1"/>
    <xf numFmtId="37" fontId="6" fillId="0" borderId="0" xfId="0" quotePrefix="1" applyNumberFormat="1" applyFont="1" applyFill="1" applyBorder="1" applyAlignment="1" applyProtection="1">
      <alignment horizontal="left"/>
    </xf>
    <xf numFmtId="37" fontId="6" fillId="0" borderId="0" xfId="0" applyFont="1" applyFill="1" applyBorder="1"/>
    <xf numFmtId="37" fontId="6" fillId="0" borderId="0" xfId="0" quotePrefix="1" applyNumberFormat="1" applyFont="1" applyFill="1" applyBorder="1" applyAlignment="1" applyProtection="1">
      <alignment horizontal="center"/>
    </xf>
    <xf numFmtId="37" fontId="6" fillId="0" borderId="5" xfId="0" applyFont="1" applyFill="1" applyBorder="1"/>
    <xf numFmtId="37" fontId="6" fillId="0" borderId="6" xfId="0" quotePrefix="1" applyNumberFormat="1" applyFont="1" applyFill="1" applyBorder="1" applyAlignment="1" applyProtection="1">
      <alignment horizontal="centerContinuous"/>
    </xf>
    <xf numFmtId="37" fontId="6" fillId="0" borderId="7" xfId="0" applyFont="1" applyFill="1" applyBorder="1" applyAlignment="1">
      <alignment horizontal="centerContinuous"/>
    </xf>
    <xf numFmtId="37" fontId="6" fillId="0" borderId="2" xfId="0" applyNumberFormat="1" applyFont="1" applyFill="1" applyBorder="1" applyAlignment="1" applyProtection="1">
      <alignment horizontal="centerContinuous"/>
    </xf>
    <xf numFmtId="37" fontId="6" fillId="0" borderId="2" xfId="0" applyFont="1" applyFill="1" applyBorder="1" applyAlignment="1">
      <alignment horizontal="centerContinuous"/>
    </xf>
    <xf numFmtId="37" fontId="6" fillId="0" borderId="8" xfId="0" applyNumberFormat="1" applyFont="1" applyFill="1" applyBorder="1" applyAlignment="1" applyProtection="1">
      <alignment horizontal="centerContinuous"/>
    </xf>
    <xf numFmtId="37" fontId="6" fillId="0" borderId="8" xfId="0" applyFont="1" applyFill="1" applyBorder="1"/>
    <xf numFmtId="37" fontId="6" fillId="0" borderId="1" xfId="0" applyNumberFormat="1" applyFont="1" applyFill="1" applyBorder="1" applyAlignment="1" applyProtection="1">
      <alignment horizontal="centerContinuous"/>
    </xf>
    <xf numFmtId="37" fontId="6" fillId="0" borderId="9" xfId="0" applyNumberFormat="1" applyFont="1" applyFill="1" applyBorder="1" applyProtection="1"/>
    <xf numFmtId="37" fontId="6" fillId="0" borderId="10" xfId="0" applyNumberFormat="1" applyFont="1" applyFill="1" applyBorder="1" applyAlignment="1" applyProtection="1"/>
    <xf numFmtId="37" fontId="6" fillId="0" borderId="11" xfId="0" applyFont="1" applyFill="1" applyBorder="1"/>
    <xf numFmtId="37" fontId="6" fillId="0" borderId="6" xfId="0" applyNumberFormat="1" applyFont="1" applyFill="1" applyBorder="1" applyAlignment="1" applyProtection="1">
      <alignment horizontal="centerContinuous"/>
    </xf>
    <xf numFmtId="37" fontId="6" fillId="0" borderId="4" xfId="0" applyFont="1" applyFill="1" applyBorder="1" applyAlignment="1">
      <alignment horizontal="centerContinuous"/>
    </xf>
    <xf numFmtId="37" fontId="6" fillId="0" borderId="0" xfId="0" applyNumberFormat="1" applyFont="1" applyFill="1" applyBorder="1" applyAlignment="1" applyProtection="1"/>
    <xf numFmtId="37" fontId="6" fillId="0" borderId="6" xfId="0" applyFont="1" applyFill="1" applyBorder="1" applyAlignment="1">
      <alignment horizontal="center"/>
    </xf>
    <xf numFmtId="37" fontId="6" fillId="0" borderId="7" xfId="0" applyFont="1" applyFill="1" applyBorder="1" applyAlignment="1">
      <alignment horizontal="center"/>
    </xf>
    <xf numFmtId="37" fontId="6" fillId="0" borderId="2" xfId="0" quotePrefix="1" applyNumberFormat="1" applyFont="1" applyFill="1" applyBorder="1" applyAlignment="1" applyProtection="1"/>
    <xf numFmtId="37" fontId="6" fillId="0" borderId="8" xfId="0" applyNumberFormat="1" applyFont="1" applyFill="1" applyBorder="1" applyAlignment="1" applyProtection="1"/>
    <xf numFmtId="37" fontId="6" fillId="0" borderId="12" xfId="0" applyFont="1" applyFill="1" applyBorder="1"/>
    <xf numFmtId="37" fontId="6" fillId="0" borderId="10" xfId="0" applyFont="1" applyFill="1" applyBorder="1"/>
    <xf numFmtId="37" fontId="6" fillId="0" borderId="7" xfId="0" applyFont="1" applyFill="1" applyBorder="1"/>
    <xf numFmtId="37" fontId="6" fillId="0" borderId="9" xfId="0" applyFont="1" applyFill="1" applyBorder="1"/>
    <xf numFmtId="37" fontId="6" fillId="0" borderId="10" xfId="0" applyFont="1" applyFill="1" applyBorder="1" applyAlignment="1">
      <alignment horizontal="center"/>
    </xf>
    <xf numFmtId="164" fontId="6" fillId="0" borderId="2" xfId="0" applyNumberFormat="1" applyFont="1" applyFill="1" applyBorder="1" applyProtection="1"/>
    <xf numFmtId="37" fontId="6" fillId="0" borderId="2" xfId="0" applyFont="1" applyFill="1" applyBorder="1" applyAlignment="1">
      <alignment horizontal="center"/>
    </xf>
    <xf numFmtId="37" fontId="6" fillId="0" borderId="13" xfId="0" applyNumberFormat="1" applyFont="1" applyFill="1" applyBorder="1" applyProtection="1"/>
    <xf numFmtId="37" fontId="6" fillId="0" borderId="0" xfId="0" applyFont="1" applyFill="1" applyBorder="1" applyAlignment="1">
      <alignment horizontal="center"/>
    </xf>
    <xf numFmtId="164" fontId="6" fillId="0" borderId="2" xfId="0" applyNumberFormat="1" applyFont="1" applyFill="1" applyBorder="1" applyAlignment="1" applyProtection="1">
      <alignment horizontal="right"/>
    </xf>
    <xf numFmtId="37" fontId="6" fillId="0" borderId="2" xfId="0" applyFont="1" applyFill="1" applyBorder="1" applyAlignment="1"/>
    <xf numFmtId="164" fontId="6" fillId="0" borderId="1" xfId="0" applyNumberFormat="1" applyFont="1" applyFill="1" applyBorder="1" applyProtection="1"/>
    <xf numFmtId="164" fontId="6" fillId="0" borderId="1" xfId="0" applyNumberFormat="1" applyFont="1" applyFill="1" applyBorder="1" applyAlignment="1" applyProtection="1"/>
    <xf numFmtId="164" fontId="6" fillId="0" borderId="2" xfId="0" quotePrefix="1" applyNumberFormat="1" applyFont="1" applyFill="1" applyBorder="1" applyAlignment="1" applyProtection="1">
      <alignment horizontal="left"/>
    </xf>
    <xf numFmtId="37" fontId="6" fillId="0" borderId="9" xfId="0" applyNumberFormat="1" applyFont="1" applyFill="1" applyBorder="1" applyAlignment="1" applyProtection="1"/>
    <xf numFmtId="37" fontId="6" fillId="0" borderId="12" xfId="0" quotePrefix="1" applyNumberFormat="1" applyFont="1" applyFill="1" applyBorder="1" applyAlignment="1" applyProtection="1">
      <alignment horizontal="left"/>
    </xf>
    <xf numFmtId="37" fontId="6" fillId="0" borderId="14" xfId="0" applyFont="1" applyFill="1" applyBorder="1" applyAlignment="1">
      <alignment horizontal="center"/>
    </xf>
    <xf numFmtId="37" fontId="6" fillId="0" borderId="8" xfId="0" applyFont="1" applyFill="1" applyBorder="1" applyAlignment="1">
      <alignment horizontal="center"/>
    </xf>
    <xf numFmtId="37" fontId="6" fillId="0" borderId="14" xfId="0" applyFont="1" applyFill="1" applyBorder="1"/>
    <xf numFmtId="37" fontId="7" fillId="0" borderId="14" xfId="0" applyFont="1" applyBorder="1"/>
    <xf numFmtId="37" fontId="7" fillId="0" borderId="8" xfId="0" applyFont="1" applyBorder="1"/>
    <xf numFmtId="37" fontId="6" fillId="0" borderId="8" xfId="0" applyFont="1" applyFill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"/>
    </xf>
    <xf numFmtId="37" fontId="6" fillId="0" borderId="13" xfId="0" applyFont="1" applyFill="1" applyBorder="1"/>
    <xf numFmtId="37" fontId="7" fillId="0" borderId="13" xfId="0" applyFont="1" applyBorder="1"/>
    <xf numFmtId="37" fontId="6" fillId="0" borderId="3" xfId="0" applyFont="1" applyFill="1" applyBorder="1" applyAlignment="1">
      <alignment horizontal="centerContinuous"/>
    </xf>
    <xf numFmtId="37" fontId="7" fillId="0" borderId="0" xfId="0" applyFont="1" applyBorder="1" applyAlignment="1">
      <alignment horizontal="center"/>
    </xf>
    <xf numFmtId="37" fontId="7" fillId="0" borderId="0" xfId="0" applyFont="1" applyBorder="1" applyAlignment="1"/>
    <xf numFmtId="37" fontId="7" fillId="0" borderId="0" xfId="0" applyFont="1" applyAlignment="1"/>
    <xf numFmtId="37" fontId="7" fillId="0" borderId="0" xfId="0" quotePrefix="1" applyNumberFormat="1" applyFont="1" applyBorder="1" applyAlignment="1" applyProtection="1"/>
    <xf numFmtId="37" fontId="8" fillId="0" borderId="0" xfId="0" applyFont="1" applyAlignment="1"/>
    <xf numFmtId="37" fontId="6" fillId="0" borderId="3" xfId="0" applyNumberFormat="1" applyFont="1" applyFill="1" applyBorder="1" applyAlignment="1" applyProtection="1"/>
    <xf numFmtId="37" fontId="6" fillId="0" borderId="3" xfId="0" applyFont="1" applyFill="1" applyBorder="1" applyAlignment="1"/>
    <xf numFmtId="37" fontId="6" fillId="0" borderId="4" xfId="0" applyFont="1" applyFill="1" applyBorder="1" applyAlignment="1"/>
    <xf numFmtId="4" fontId="6" fillId="0" borderId="2" xfId="0" applyNumberFormat="1" applyFont="1" applyFill="1" applyBorder="1" applyAlignment="1" applyProtection="1"/>
    <xf numFmtId="37" fontId="7" fillId="0" borderId="10" xfId="0" applyFont="1" applyBorder="1" applyAlignment="1"/>
    <xf numFmtId="3" fontId="6" fillId="0" borderId="2" xfId="0" applyNumberFormat="1" applyFont="1" applyFill="1" applyBorder="1" applyAlignment="1" applyProtection="1"/>
    <xf numFmtId="2" fontId="6" fillId="0" borderId="2" xfId="0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>
      <alignment horizontal="center"/>
    </xf>
    <xf numFmtId="37" fontId="6" fillId="0" borderId="2" xfId="0" quotePrefix="1" applyNumberFormat="1" applyFont="1" applyFill="1" applyBorder="1" applyAlignment="1" applyProtection="1">
      <alignment horizontal="center"/>
    </xf>
    <xf numFmtId="37" fontId="7" fillId="0" borderId="2" xfId="0" applyFont="1" applyBorder="1" applyAlignment="1">
      <alignment horizontal="center"/>
    </xf>
    <xf numFmtId="37" fontId="7" fillId="0" borderId="4" xfId="0" applyFont="1" applyBorder="1" applyAlignment="1">
      <alignment horizontal="center"/>
    </xf>
    <xf numFmtId="37" fontId="6" fillId="2" borderId="2" xfId="0" applyNumberFormat="1" applyFont="1" applyFill="1" applyBorder="1" applyProtection="1"/>
    <xf numFmtId="37" fontId="6" fillId="2" borderId="2" xfId="0" applyNumberFormat="1" applyFont="1" applyFill="1" applyBorder="1" applyAlignment="1" applyProtection="1"/>
    <xf numFmtId="37" fontId="6" fillId="0" borderId="0" xfId="0" applyNumberFormat="1" applyFont="1" applyFill="1" applyBorder="1" applyAlignment="1" applyProtection="1">
      <alignment horizontal="left"/>
    </xf>
    <xf numFmtId="37" fontId="7" fillId="0" borderId="7" xfId="0" applyFont="1" applyBorder="1" applyAlignment="1">
      <alignment horizontal="centerContinuous"/>
    </xf>
    <xf numFmtId="37" fontId="6" fillId="0" borderId="9" xfId="0" quotePrefix="1" applyNumberFormat="1" applyFont="1" applyFill="1" applyBorder="1" applyAlignment="1" applyProtection="1"/>
    <xf numFmtId="37" fontId="6" fillId="0" borderId="8" xfId="0" quotePrefix="1" applyNumberFormat="1" applyFont="1" applyFill="1" applyBorder="1" applyAlignment="1" applyProtection="1">
      <alignment horizontal="left"/>
    </xf>
    <xf numFmtId="37" fontId="6" fillId="0" borderId="4" xfId="0" applyNumberFormat="1" applyFont="1" applyFill="1" applyBorder="1" applyProtection="1"/>
    <xf numFmtId="37" fontId="7" fillId="0" borderId="1" xfId="0" applyFont="1" applyBorder="1"/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6" fillId="0" borderId="11" xfId="0" applyNumberFormat="1" applyFont="1" applyFill="1" applyBorder="1" applyProtection="1"/>
    <xf numFmtId="37" fontId="6" fillId="0" borderId="6" xfId="0" applyFont="1" applyFill="1" applyBorder="1" applyAlignment="1">
      <alignment horizontal="centerContinuous"/>
    </xf>
    <xf numFmtId="37" fontId="6" fillId="0" borderId="1" xfId="0" applyFont="1" applyFill="1" applyBorder="1" applyAlignment="1">
      <alignment horizontal="centerContinuous"/>
    </xf>
    <xf numFmtId="37" fontId="7" fillId="0" borderId="0" xfId="0" applyNumberFormat="1" applyFont="1" applyBorder="1" applyProtection="1"/>
    <xf numFmtId="37" fontId="7" fillId="0" borderId="0" xfId="0" applyNumberFormat="1" applyFont="1" applyBorder="1" applyAlignment="1" applyProtection="1">
      <alignment horizontal="center"/>
    </xf>
    <xf numFmtId="37" fontId="6" fillId="0" borderId="5" xfId="0" applyNumberFormat="1" applyFont="1" applyFill="1" applyBorder="1" applyAlignment="1" applyProtection="1">
      <alignment horizontal="centerContinuous"/>
    </xf>
    <xf numFmtId="37" fontId="7" fillId="0" borderId="6" xfId="0" applyFont="1" applyBorder="1" applyAlignment="1">
      <alignment horizontal="centerContinuous"/>
    </xf>
    <xf numFmtId="37" fontId="6" fillId="0" borderId="2" xfId="0" quotePrefix="1" applyNumberFormat="1" applyFont="1" applyFill="1" applyBorder="1" applyAlignment="1" applyProtection="1">
      <alignment horizontal="centerContinuous"/>
    </xf>
    <xf numFmtId="37" fontId="6" fillId="0" borderId="3" xfId="0" applyNumberFormat="1" applyFont="1" applyFill="1" applyBorder="1" applyAlignment="1" applyProtection="1">
      <alignment horizontal="center"/>
    </xf>
    <xf numFmtId="37" fontId="6" fillId="0" borderId="1" xfId="0" applyNumberFormat="1" applyFont="1" applyFill="1" applyBorder="1" applyAlignment="1" applyProtection="1">
      <alignment horizontal="center"/>
    </xf>
    <xf numFmtId="37" fontId="6" fillId="0" borderId="13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/>
    <xf numFmtId="37" fontId="6" fillId="0" borderId="13" xfId="0" applyNumberFormat="1" applyFont="1" applyFill="1" applyBorder="1" applyAlignment="1" applyProtection="1">
      <alignment horizontal="centerContinuous"/>
    </xf>
    <xf numFmtId="37" fontId="7" fillId="0" borderId="4" xfId="0" applyFont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Continuous"/>
    </xf>
    <xf numFmtId="37" fontId="6" fillId="0" borderId="14" xfId="0" applyNumberFormat="1" applyFont="1" applyFill="1" applyBorder="1" applyAlignment="1" applyProtection="1">
      <alignment horizontal="left"/>
    </xf>
    <xf numFmtId="37" fontId="7" fillId="0" borderId="12" xfId="0" applyFont="1" applyBorder="1"/>
    <xf numFmtId="37" fontId="7" fillId="0" borderId="6" xfId="0" applyFont="1" applyBorder="1"/>
    <xf numFmtId="37" fontId="7" fillId="0" borderId="7" xfId="0" applyFont="1" applyBorder="1"/>
    <xf numFmtId="37" fontId="7" fillId="0" borderId="15" xfId="0" applyFont="1" applyBorder="1"/>
    <xf numFmtId="37" fontId="7" fillId="0" borderId="12" xfId="0" quotePrefix="1" applyNumberFormat="1" applyFont="1" applyBorder="1" applyAlignment="1" applyProtection="1"/>
    <xf numFmtId="37" fontId="7" fillId="0" borderId="12" xfId="0" quotePrefix="1" applyNumberFormat="1" applyFont="1" applyBorder="1" applyAlignment="1" applyProtection="1">
      <alignment horizontal="left"/>
    </xf>
    <xf numFmtId="37" fontId="7" fillId="0" borderId="12" xfId="0" applyNumberFormat="1" applyFont="1" applyBorder="1" applyAlignment="1" applyProtection="1"/>
    <xf numFmtId="37" fontId="7" fillId="0" borderId="10" xfId="0" applyFont="1" applyBorder="1"/>
    <xf numFmtId="37" fontId="6" fillId="0" borderId="8" xfId="0" applyNumberFormat="1" applyFont="1" applyFill="1" applyBorder="1" applyProtection="1"/>
    <xf numFmtId="37" fontId="6" fillId="0" borderId="14" xfId="0" applyFont="1" applyFill="1" applyBorder="1" applyAlignment="1">
      <alignment horizontal="centerContinuous"/>
    </xf>
    <xf numFmtId="37" fontId="6" fillId="0" borderId="12" xfId="0" applyNumberFormat="1" applyFont="1" applyFill="1" applyBorder="1" applyAlignment="1" applyProtection="1"/>
    <xf numFmtId="37" fontId="6" fillId="0" borderId="1" xfId="0" applyFont="1" applyFill="1" applyBorder="1"/>
    <xf numFmtId="37" fontId="7" fillId="0" borderId="3" xfId="0" applyNumberFormat="1" applyFont="1" applyBorder="1" applyProtection="1"/>
    <xf numFmtId="37" fontId="7" fillId="2" borderId="0" xfId="0" applyFont="1" applyFill="1" applyBorder="1"/>
    <xf numFmtId="37" fontId="7" fillId="2" borderId="4" xfId="0" applyFont="1" applyFill="1" applyBorder="1"/>
    <xf numFmtId="37" fontId="7" fillId="0" borderId="9" xfId="0" applyFont="1" applyBorder="1"/>
    <xf numFmtId="37" fontId="6" fillId="0" borderId="12" xfId="0" applyNumberFormat="1" applyFont="1" applyFill="1" applyBorder="1" applyAlignment="1" applyProtection="1">
      <alignment horizontal="left"/>
    </xf>
    <xf numFmtId="37" fontId="6" fillId="0" borderId="10" xfId="0" applyNumberFormat="1" applyFont="1" applyFill="1" applyBorder="1" applyAlignment="1" applyProtection="1">
      <alignment horizontal="right"/>
    </xf>
    <xf numFmtId="37" fontId="7" fillId="0" borderId="10" xfId="0" applyNumberFormat="1" applyFont="1" applyBorder="1" applyProtection="1"/>
    <xf numFmtId="37" fontId="7" fillId="2" borderId="12" xfId="0" applyFont="1" applyFill="1" applyBorder="1"/>
    <xf numFmtId="37" fontId="7" fillId="2" borderId="10" xfId="0" applyFont="1" applyFill="1" applyBorder="1"/>
    <xf numFmtId="37" fontId="6" fillId="0" borderId="1" xfId="0" applyFont="1" applyFill="1" applyBorder="1" applyAlignment="1"/>
    <xf numFmtId="37" fontId="7" fillId="0" borderId="16" xfId="0" applyFont="1" applyBorder="1"/>
    <xf numFmtId="37" fontId="7" fillId="0" borderId="17" xfId="0" applyFont="1" applyBorder="1"/>
    <xf numFmtId="37" fontId="7" fillId="0" borderId="18" xfId="0" applyFont="1" applyBorder="1"/>
    <xf numFmtId="37" fontId="7" fillId="0" borderId="19" xfId="0" applyFont="1" applyBorder="1"/>
    <xf numFmtId="37" fontId="7" fillId="0" borderId="20" xfId="0" applyFont="1" applyBorder="1"/>
    <xf numFmtId="37" fontId="7" fillId="0" borderId="21" xfId="0" applyFont="1" applyBorder="1"/>
    <xf numFmtId="37" fontId="7" fillId="0" borderId="22" xfId="0" applyFont="1" applyBorder="1"/>
    <xf numFmtId="37" fontId="7" fillId="0" borderId="23" xfId="0" applyFont="1" applyBorder="1"/>
    <xf numFmtId="37" fontId="7" fillId="0" borderId="17" xfId="0" applyFont="1" applyBorder="1" applyAlignment="1">
      <alignment horizontal="center"/>
    </xf>
    <xf numFmtId="37" fontId="7" fillId="0" borderId="17" xfId="0" applyFont="1" applyBorder="1" applyAlignment="1">
      <alignment horizontal="right"/>
    </xf>
    <xf numFmtId="37" fontId="7" fillId="0" borderId="0" xfId="0" applyFont="1" applyBorder="1" applyAlignment="1">
      <alignment horizontal="right"/>
    </xf>
    <xf numFmtId="37" fontId="7" fillId="0" borderId="24" xfId="0" applyFont="1" applyBorder="1"/>
    <xf numFmtId="37" fontId="7" fillId="0" borderId="8" xfId="0" applyFont="1" applyBorder="1" applyAlignment="1">
      <alignment horizontal="center"/>
    </xf>
    <xf numFmtId="37" fontId="7" fillId="0" borderId="25" xfId="0" applyFont="1" applyBorder="1"/>
    <xf numFmtId="37" fontId="7" fillId="0" borderId="26" xfId="0" applyFont="1" applyBorder="1"/>
    <xf numFmtId="37" fontId="7" fillId="0" borderId="27" xfId="0" applyFont="1" applyBorder="1"/>
    <xf numFmtId="37" fontId="7" fillId="0" borderId="28" xfId="0" quotePrefix="1" applyFont="1" applyBorder="1" applyAlignment="1">
      <alignment horizontal="left"/>
    </xf>
    <xf numFmtId="37" fontId="7" fillId="0" borderId="29" xfId="0" applyFont="1" applyBorder="1"/>
    <xf numFmtId="37" fontId="7" fillId="0" borderId="28" xfId="0" applyFont="1" applyBorder="1" applyAlignment="1">
      <alignment horizontal="center"/>
    </xf>
    <xf numFmtId="37" fontId="7" fillId="0" borderId="30" xfId="0" applyFont="1" applyBorder="1"/>
    <xf numFmtId="37" fontId="7" fillId="0" borderId="31" xfId="0" applyFont="1" applyBorder="1"/>
    <xf numFmtId="37" fontId="7" fillId="0" borderId="31" xfId="0" applyFont="1" applyBorder="1" applyAlignment="1">
      <alignment horizontal="center"/>
    </xf>
    <xf numFmtId="37" fontId="7" fillId="0" borderId="32" xfId="0" applyFont="1" applyBorder="1"/>
    <xf numFmtId="37" fontId="10" fillId="0" borderId="0" xfId="0" applyFont="1"/>
    <xf numFmtId="37" fontId="8" fillId="0" borderId="0" xfId="0" quotePrefix="1" applyFont="1" applyAlignment="1">
      <alignment horizontal="right"/>
    </xf>
    <xf numFmtId="37" fontId="9" fillId="0" borderId="0" xfId="0" quotePrefix="1" applyFont="1" applyAlignment="1">
      <alignment horizontal="right"/>
    </xf>
    <xf numFmtId="37" fontId="7" fillId="0" borderId="0" xfId="0" quotePrefix="1" applyFont="1" applyBorder="1" applyAlignment="1">
      <alignment horizontal="right"/>
    </xf>
    <xf numFmtId="37" fontId="6" fillId="0" borderId="0" xfId="0" quotePrefix="1" applyNumberFormat="1" applyFont="1" applyFill="1" applyBorder="1" applyAlignment="1" applyProtection="1">
      <alignment horizontal="right"/>
    </xf>
    <xf numFmtId="37" fontId="7" fillId="0" borderId="0" xfId="0" quotePrefix="1" applyFont="1" applyAlignment="1">
      <alignment horizontal="right"/>
    </xf>
    <xf numFmtId="37" fontId="5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left"/>
    </xf>
    <xf numFmtId="37" fontId="5" fillId="3" borderId="0" xfId="0" applyFont="1" applyFill="1" applyAlignment="1" applyProtection="1">
      <alignment horizontal="right"/>
    </xf>
    <xf numFmtId="37" fontId="5" fillId="3" borderId="0" xfId="0" applyFont="1" applyFill="1" applyAlignment="1" applyProtection="1"/>
    <xf numFmtId="37" fontId="11" fillId="4" borderId="1" xfId="0" applyFont="1" applyFill="1" applyBorder="1" applyProtection="1">
      <protection locked="0"/>
    </xf>
    <xf numFmtId="37" fontId="5" fillId="3" borderId="0" xfId="0" applyFont="1" applyFill="1" applyProtection="1"/>
    <xf numFmtId="37" fontId="11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/>
    <xf numFmtId="37" fontId="11" fillId="3" borderId="0" xfId="0" applyFont="1" applyFill="1" applyProtection="1"/>
    <xf numFmtId="37" fontId="5" fillId="0" borderId="0" xfId="0" applyFont="1" applyAlignment="1" applyProtection="1"/>
    <xf numFmtId="37" fontId="5" fillId="0" borderId="0" xfId="0" applyFont="1" applyProtection="1"/>
    <xf numFmtId="37" fontId="5" fillId="0" borderId="0" xfId="0" applyFont="1" applyAlignment="1" applyProtection="1">
      <alignment horizontal="center"/>
    </xf>
    <xf numFmtId="38" fontId="5" fillId="3" borderId="0" xfId="0" applyNumberFormat="1" applyFont="1" applyFill="1" applyAlignment="1" applyProtection="1">
      <alignment horizontal="center"/>
    </xf>
    <xf numFmtId="37" fontId="11" fillId="0" borderId="1" xfId="0" applyNumberFormat="1" applyFont="1" applyBorder="1" applyAlignment="1" applyProtection="1">
      <protection locked="0"/>
    </xf>
    <xf numFmtId="37" fontId="11" fillId="0" borderId="1" xfId="0" quotePrefix="1" applyNumberFormat="1" applyFont="1" applyBorder="1" applyProtection="1">
      <protection locked="0"/>
    </xf>
    <xf numFmtId="37" fontId="11" fillId="0" borderId="1" xfId="1" quotePrefix="1" applyNumberFormat="1" applyFont="1" applyBorder="1" applyProtection="1">
      <protection locked="0"/>
    </xf>
    <xf numFmtId="39" fontId="11" fillId="0" borderId="1" xfId="3" quotePrefix="1" applyNumberFormat="1" applyFont="1" applyBorder="1" applyProtection="1">
      <protection locked="0"/>
    </xf>
    <xf numFmtId="39" fontId="11" fillId="0" borderId="1" xfId="0" quotePrefix="1" applyNumberFormat="1" applyFont="1" applyBorder="1" applyProtection="1">
      <protection locked="0"/>
    </xf>
    <xf numFmtId="37" fontId="11" fillId="4" borderId="1" xfId="0" quotePrefix="1" applyNumberFormat="1" applyFont="1" applyFill="1" applyBorder="1" applyProtection="1">
      <protection locked="0"/>
    </xf>
    <xf numFmtId="38" fontId="11" fillId="4" borderId="1" xfId="0" applyNumberFormat="1" applyFont="1" applyFill="1" applyBorder="1" applyProtection="1">
      <protection locked="0"/>
    </xf>
    <xf numFmtId="38" fontId="5" fillId="3" borderId="0" xfId="0" applyNumberFormat="1" applyFont="1" applyFill="1" applyAlignment="1" applyProtection="1">
      <alignment horizontal="right"/>
    </xf>
    <xf numFmtId="38" fontId="5" fillId="3" borderId="0" xfId="0" applyNumberFormat="1" applyFont="1" applyFill="1" applyProtection="1"/>
    <xf numFmtId="38" fontId="11" fillId="3" borderId="0" xfId="0" applyNumberFormat="1" applyFont="1" applyFill="1" applyAlignment="1" applyProtection="1">
      <alignment horizontal="center"/>
    </xf>
    <xf numFmtId="38" fontId="11" fillId="3" borderId="0" xfId="0" applyNumberFormat="1" applyFont="1" applyFill="1" applyProtection="1"/>
    <xf numFmtId="37" fontId="5" fillId="0" borderId="0" xfId="0" applyFont="1" applyFill="1" applyAlignment="1" applyProtection="1"/>
    <xf numFmtId="37" fontId="5" fillId="3" borderId="0" xfId="0" applyNumberFormat="1" applyFont="1" applyFill="1" applyProtection="1"/>
    <xf numFmtId="164" fontId="5" fillId="0" borderId="0" xfId="0" applyNumberFormat="1" applyFont="1" applyProtection="1"/>
    <xf numFmtId="39" fontId="5" fillId="0" borderId="0" xfId="0" applyNumberFormat="1" applyFont="1" applyProtection="1"/>
    <xf numFmtId="37" fontId="5" fillId="0" borderId="0" xfId="0" applyFont="1" applyAlignment="1" applyProtection="1">
      <alignment horizontal="left"/>
    </xf>
    <xf numFmtId="37" fontId="5" fillId="0" borderId="0" xfId="0" quotePrefix="1" applyFont="1" applyAlignment="1" applyProtection="1">
      <alignment horizontal="left"/>
    </xf>
    <xf numFmtId="164" fontId="5" fillId="0" borderId="0" xfId="0" applyNumberFormat="1" applyFont="1" applyAlignment="1" applyProtection="1">
      <alignment horizontal="left"/>
    </xf>
    <xf numFmtId="37" fontId="5" fillId="2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>
      <alignment horizontal="left"/>
    </xf>
    <xf numFmtId="37" fontId="5" fillId="2" borderId="0" xfId="0" applyFont="1" applyFill="1" applyAlignment="1" applyProtection="1">
      <alignment horizontal="center"/>
    </xf>
    <xf numFmtId="38" fontId="11" fillId="4" borderId="2" xfId="0" applyNumberFormat="1" applyFont="1" applyFill="1" applyBorder="1" applyProtection="1">
      <protection locked="0"/>
    </xf>
    <xf numFmtId="38" fontId="11" fillId="4" borderId="8" xfId="0" applyNumberFormat="1" applyFont="1" applyFill="1" applyBorder="1" applyProtection="1">
      <protection locked="0"/>
    </xf>
    <xf numFmtId="37" fontId="5" fillId="0" borderId="0" xfId="0" quotePrefix="1" applyFont="1" applyAlignment="1" applyProtection="1">
      <alignment horizontal="fill"/>
    </xf>
    <xf numFmtId="37" fontId="5" fillId="3" borderId="0" xfId="0" quotePrefix="1" applyFont="1" applyFill="1" applyAlignment="1" applyProtection="1">
      <alignment horizontal="centerContinuous"/>
    </xf>
    <xf numFmtId="37" fontId="5" fillId="3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/>
    <xf numFmtId="37" fontId="6" fillId="5" borderId="2" xfId="0" applyFont="1" applyFill="1" applyBorder="1" applyAlignment="1"/>
    <xf numFmtId="37" fontId="6" fillId="6" borderId="2" xfId="0" applyFont="1" applyFill="1" applyBorder="1" applyAlignment="1"/>
    <xf numFmtId="37" fontId="6" fillId="6" borderId="2" xfId="0" applyFont="1" applyFill="1" applyBorder="1" applyAlignment="1">
      <alignment horizontal="center"/>
    </xf>
    <xf numFmtId="37" fontId="6" fillId="6" borderId="2" xfId="0" quotePrefix="1" applyNumberFormat="1" applyFont="1" applyFill="1" applyBorder="1" applyAlignment="1" applyProtection="1">
      <alignment horizontal="center"/>
    </xf>
    <xf numFmtId="37" fontId="6" fillId="6" borderId="2" xfId="0" applyNumberFormat="1" applyFont="1" applyFill="1" applyBorder="1" applyAlignment="1" applyProtection="1"/>
    <xf numFmtId="37" fontId="6" fillId="6" borderId="2" xfId="0" quotePrefix="1" applyFont="1" applyFill="1" applyBorder="1" applyAlignment="1"/>
    <xf numFmtId="39" fontId="6" fillId="6" borderId="2" xfId="0" quotePrefix="1" applyNumberFormat="1" applyFont="1" applyFill="1" applyBorder="1" applyAlignment="1" applyProtection="1">
      <alignment horizontal="center"/>
    </xf>
    <xf numFmtId="39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/>
    <xf numFmtId="37" fontId="6" fillId="6" borderId="2" xfId="0" applyNumberFormat="1" applyFont="1" applyFill="1" applyBorder="1" applyAlignment="1"/>
    <xf numFmtId="39" fontId="11" fillId="0" borderId="1" xfId="1" quotePrefix="1" applyNumberFormat="1" applyFont="1" applyBorder="1" applyProtection="1">
      <protection locked="0"/>
    </xf>
    <xf numFmtId="38" fontId="11" fillId="4" borderId="1" xfId="0" applyNumberFormat="1" applyFont="1" applyFill="1" applyBorder="1" applyAlignment="1" applyProtection="1">
      <alignment horizontal="center"/>
      <protection locked="0"/>
    </xf>
    <xf numFmtId="39" fontId="11" fillId="0" borderId="1" xfId="0" applyNumberFormat="1" applyFont="1" applyBorder="1" applyProtection="1">
      <protection locked="0"/>
    </xf>
    <xf numFmtId="37" fontId="11" fillId="0" borderId="1" xfId="1" applyNumberFormat="1" applyFont="1" applyBorder="1" applyProtection="1">
      <protection locked="0"/>
    </xf>
    <xf numFmtId="165" fontId="11" fillId="0" borderId="1" xfId="1" quotePrefix="1" applyNumberFormat="1" applyFont="1" applyBorder="1" applyProtection="1">
      <protection locked="0"/>
    </xf>
    <xf numFmtId="38" fontId="11" fillId="4" borderId="1" xfId="0" quotePrefix="1" applyNumberFormat="1" applyFont="1" applyFill="1" applyBorder="1" applyAlignment="1" applyProtection="1">
      <alignment horizontal="left"/>
      <protection locked="0"/>
    </xf>
    <xf numFmtId="38" fontId="11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>
      <alignment horizontal="left"/>
    </xf>
    <xf numFmtId="3" fontId="7" fillId="0" borderId="2" xfId="0" applyNumberFormat="1" applyFont="1" applyFill="1" applyBorder="1" applyAlignment="1" applyProtection="1"/>
    <xf numFmtId="38" fontId="11" fillId="4" borderId="14" xfId="0" applyNumberFormat="1" applyFont="1" applyFill="1" applyBorder="1" applyProtection="1">
      <protection locked="0"/>
    </xf>
    <xf numFmtId="38" fontId="11" fillId="4" borderId="14" xfId="0" quotePrefix="1" applyNumberFormat="1" applyFont="1" applyFill="1" applyBorder="1" applyAlignment="1" applyProtection="1">
      <alignment horizontal="left"/>
      <protection locked="0"/>
    </xf>
    <xf numFmtId="38" fontId="11" fillId="3" borderId="8" xfId="0" applyNumberFormat="1" applyFont="1" applyFill="1" applyBorder="1" applyAlignment="1" applyProtection="1">
      <alignment horizontal="center"/>
      <protection locked="0"/>
    </xf>
    <xf numFmtId="37" fontId="5" fillId="0" borderId="0" xfId="0" applyFont="1" applyFill="1" applyAlignment="1" applyProtection="1">
      <alignment horizontal="left"/>
    </xf>
    <xf numFmtId="37" fontId="5" fillId="0" borderId="0" xfId="0" applyFont="1" applyFill="1" applyProtection="1"/>
    <xf numFmtId="38" fontId="5" fillId="0" borderId="0" xfId="0" applyNumberFormat="1" applyFont="1" applyFill="1" applyProtection="1"/>
    <xf numFmtId="38" fontId="5" fillId="0" borderId="0" xfId="0" applyNumberFormat="1" applyFont="1" applyProtection="1"/>
    <xf numFmtId="37" fontId="5" fillId="7" borderId="0" xfId="0" applyFont="1" applyFill="1" applyProtection="1"/>
    <xf numFmtId="37" fontId="5" fillId="7" borderId="0" xfId="0" quotePrefix="1" applyFont="1" applyFill="1" applyAlignment="1" applyProtection="1">
      <alignment horizontal="left"/>
    </xf>
    <xf numFmtId="38" fontId="5" fillId="7" borderId="0" xfId="0" applyNumberFormat="1" applyFont="1" applyFill="1" applyProtection="1"/>
    <xf numFmtId="37" fontId="5" fillId="0" borderId="0" xfId="0" quotePrefix="1" applyFont="1" applyAlignment="1" applyProtection="1"/>
    <xf numFmtId="0" fontId="5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/>
    <xf numFmtId="0" fontId="5" fillId="0" borderId="0" xfId="0" quotePrefix="1" applyNumberFormat="1" applyFont="1" applyAlignment="1" applyProtection="1">
      <alignment horizontal="center"/>
    </xf>
    <xf numFmtId="37" fontId="5" fillId="3" borderId="0" xfId="0" quotePrefix="1" applyFont="1" applyFill="1" applyAlignment="1" applyProtection="1">
      <alignment horizontal="center"/>
    </xf>
    <xf numFmtId="37" fontId="5" fillId="3" borderId="0" xfId="0" quotePrefix="1" applyNumberFormat="1" applyFont="1" applyFill="1" applyAlignment="1" applyProtection="1"/>
    <xf numFmtId="166" fontId="5" fillId="3" borderId="0" xfId="0" applyNumberFormat="1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fill"/>
    </xf>
    <xf numFmtId="37" fontId="5" fillId="3" borderId="0" xfId="1" applyNumberFormat="1" applyFont="1" applyFill="1" applyProtection="1"/>
    <xf numFmtId="37" fontId="5" fillId="3" borderId="0" xfId="0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left"/>
    </xf>
    <xf numFmtId="4" fontId="5" fillId="3" borderId="0" xfId="0" applyNumberFormat="1" applyFont="1" applyFill="1" applyProtection="1"/>
    <xf numFmtId="37" fontId="5" fillId="0" borderId="0" xfId="0" applyNumberFormat="1" applyFont="1" applyProtection="1"/>
    <xf numFmtId="37" fontId="5" fillId="3" borderId="0" xfId="1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fill"/>
    </xf>
    <xf numFmtId="39" fontId="5" fillId="3" borderId="0" xfId="0" applyNumberFormat="1" applyFont="1" applyFill="1" applyProtection="1"/>
    <xf numFmtId="37" fontId="12" fillId="3" borderId="0" xfId="0" applyFont="1" applyFill="1" applyProtection="1"/>
    <xf numFmtId="37" fontId="11" fillId="3" borderId="0" xfId="0" applyFont="1" applyFill="1" applyAlignment="1" applyProtection="1">
      <alignment horizontal="centerContinuous"/>
    </xf>
    <xf numFmtId="37" fontId="11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5" fillId="0" borderId="0" xfId="0" applyNumberFormat="1" applyFont="1" applyProtection="1"/>
    <xf numFmtId="1" fontId="5" fillId="0" borderId="0" xfId="0" applyNumberFormat="1" applyFont="1" applyAlignment="1" applyProtection="1">
      <alignment horizontal="center"/>
    </xf>
    <xf numFmtId="37" fontId="5" fillId="0" borderId="0" xfId="0" quotePrefix="1" applyFont="1" applyAlignment="1" applyProtection="1">
      <alignment horizontal="center"/>
    </xf>
    <xf numFmtId="2" fontId="5" fillId="0" borderId="0" xfId="0" applyNumberFormat="1" applyFont="1" applyProtection="1"/>
    <xf numFmtId="2" fontId="5" fillId="0" borderId="0" xfId="0" applyNumberFormat="1" applyFont="1" applyAlignment="1" applyProtection="1"/>
    <xf numFmtId="10" fontId="5" fillId="0" borderId="0" xfId="0" applyNumberFormat="1" applyFont="1" applyProtection="1"/>
    <xf numFmtId="37" fontId="11" fillId="0" borderId="0" xfId="0" applyFont="1" applyProtection="1"/>
    <xf numFmtId="37" fontId="5" fillId="0" borderId="0" xfId="0" applyFont="1" applyProtection="1">
      <protection locked="0"/>
    </xf>
    <xf numFmtId="37" fontId="7" fillId="0" borderId="0" xfId="0" applyFont="1" applyAlignment="1" applyProtection="1"/>
    <xf numFmtId="37" fontId="7" fillId="0" borderId="0" xfId="0" applyFont="1" applyProtection="1"/>
    <xf numFmtId="49" fontId="11" fillId="4" borderId="1" xfId="0" applyNumberFormat="1" applyFont="1" applyFill="1" applyBorder="1" applyAlignment="1" applyProtection="1">
      <alignment horizontal="left"/>
      <protection locked="0"/>
    </xf>
    <xf numFmtId="38" fontId="11" fillId="4" borderId="14" xfId="0" quotePrefix="1" applyNumberFormat="1" applyFont="1" applyFill="1" applyBorder="1" applyProtection="1">
      <protection locked="0"/>
    </xf>
    <xf numFmtId="37" fontId="5" fillId="3" borderId="0" xfId="0" applyFont="1" applyFill="1" applyAlignment="1" applyProtection="1">
      <alignment horizontal="left"/>
    </xf>
    <xf numFmtId="37" fontId="5" fillId="8" borderId="0" xfId="0" applyFont="1" applyFill="1" applyProtection="1"/>
    <xf numFmtId="37" fontId="6" fillId="0" borderId="8" xfId="0" applyNumberFormat="1" applyFont="1" applyFill="1" applyBorder="1" applyAlignment="1" applyProtection="1">
      <alignment horizontal="left"/>
    </xf>
    <xf numFmtId="164" fontId="6" fillId="0" borderId="3" xfId="0" applyNumberFormat="1" applyFont="1" applyFill="1" applyBorder="1" applyAlignment="1" applyProtection="1"/>
    <xf numFmtId="37" fontId="5" fillId="2" borderId="0" xfId="0" applyFont="1" applyFill="1" applyAlignment="1" applyProtection="1">
      <alignment horizontal="right"/>
    </xf>
    <xf numFmtId="37" fontId="5" fillId="0" borderId="0" xfId="0" applyFont="1" applyAlignment="1" applyProtection="1">
      <alignment horizontal="right"/>
    </xf>
    <xf numFmtId="4" fontId="5" fillId="2" borderId="0" xfId="0" applyNumberFormat="1" applyFont="1" applyFill="1" applyAlignment="1" applyProtection="1">
      <alignment horizontal="right"/>
    </xf>
    <xf numFmtId="39" fontId="5" fillId="2" borderId="0" xfId="0" applyNumberFormat="1" applyFont="1" applyFill="1" applyAlignment="1" applyProtection="1">
      <alignment horizontal="right"/>
    </xf>
    <xf numFmtId="37" fontId="5" fillId="0" borderId="0" xfId="0" quotePrefix="1" applyFont="1" applyAlignment="1" applyProtection="1">
      <alignment horizontal="right"/>
    </xf>
    <xf numFmtId="2" fontId="5" fillId="0" borderId="0" xfId="0" applyNumberFormat="1" applyFont="1" applyAlignment="1" applyProtection="1">
      <alignment horizontal="right"/>
    </xf>
    <xf numFmtId="49" fontId="11" fillId="4" borderId="1" xfId="0" quotePrefix="1" applyNumberFormat="1" applyFont="1" applyFill="1" applyBorder="1" applyAlignment="1" applyProtection="1">
      <protection locked="0"/>
    </xf>
    <xf numFmtId="37" fontId="14" fillId="0" borderId="0" xfId="2" applyNumberFormat="1" applyFont="1" applyAlignment="1" applyProtection="1"/>
    <xf numFmtId="38" fontId="5" fillId="8" borderId="0" xfId="0" applyNumberFormat="1" applyFont="1" applyFill="1" applyProtection="1"/>
    <xf numFmtId="37" fontId="15" fillId="0" borderId="23" xfId="0" applyFont="1" applyBorder="1" applyAlignment="1">
      <alignment horizontal="right"/>
    </xf>
    <xf numFmtId="49" fontId="11" fillId="4" borderId="1" xfId="0" quotePrefix="1" applyNumberFormat="1" applyFont="1" applyFill="1" applyBorder="1" applyAlignment="1" applyProtection="1">
      <alignment horizontal="left"/>
      <protection locked="0"/>
    </xf>
    <xf numFmtId="37" fontId="11" fillId="3" borderId="0" xfId="0" applyFont="1" applyFill="1" applyAlignment="1" applyProtection="1">
      <alignment horizontal="center" vertical="center"/>
    </xf>
  </cellXfs>
  <cellStyles count="43">
    <cellStyle name="Comma" xfId="1" builtinId="3"/>
    <cellStyle name="Comma 10 10" xfId="9" xr:uid="{00000000-0005-0000-0000-000001000000}"/>
    <cellStyle name="Comma 2" xfId="14" xr:uid="{00000000-0005-0000-0000-000002000000}"/>
    <cellStyle name="Comma 96" xfId="40" xr:uid="{00000000-0005-0000-0000-000003000000}"/>
    <cellStyle name="Comma 97" xfId="41" xr:uid="{00000000-0005-0000-0000-000004000000}"/>
    <cellStyle name="Hyperlink" xfId="2" builtinId="8"/>
    <cellStyle name="Normal" xfId="0" builtinId="0"/>
    <cellStyle name="Normal 10 2 3" xfId="34" xr:uid="{00000000-0005-0000-0000-000007000000}"/>
    <cellStyle name="Normal 101" xfId="33" xr:uid="{00000000-0005-0000-0000-000008000000}"/>
    <cellStyle name="Normal 11" xfId="4" xr:uid="{00000000-0005-0000-0000-000009000000}"/>
    <cellStyle name="Normal 143" xfId="35" xr:uid="{00000000-0005-0000-0000-00000A000000}"/>
    <cellStyle name="Normal 144" xfId="36" xr:uid="{00000000-0005-0000-0000-00000B000000}"/>
    <cellStyle name="Normal 145" xfId="37" xr:uid="{00000000-0005-0000-0000-00000C000000}"/>
    <cellStyle name="Normal 146" xfId="38" xr:uid="{00000000-0005-0000-0000-00000D000000}"/>
    <cellStyle name="Normal 147" xfId="39" xr:uid="{00000000-0005-0000-0000-00000E000000}"/>
    <cellStyle name="Normal 557" xfId="6" xr:uid="{00000000-0005-0000-0000-00000F000000}"/>
    <cellStyle name="Normal 561" xfId="7" xr:uid="{00000000-0005-0000-0000-000010000000}"/>
    <cellStyle name="Normal 568" xfId="8" xr:uid="{00000000-0005-0000-0000-000011000000}"/>
    <cellStyle name="Normal 576" xfId="10" xr:uid="{00000000-0005-0000-0000-000012000000}"/>
    <cellStyle name="Normal 6_Balance Sheet Puget Sound" xfId="42" xr:uid="{00000000-0005-0000-0000-000013000000}"/>
    <cellStyle name="Normal 69" xfId="11" xr:uid="{00000000-0005-0000-0000-000014000000}"/>
    <cellStyle name="Normal 70" xfId="12" xr:uid="{00000000-0005-0000-0000-000015000000}"/>
    <cellStyle name="Normal 71" xfId="13" xr:uid="{00000000-0005-0000-0000-000016000000}"/>
    <cellStyle name="Normal 72" xfId="16" xr:uid="{00000000-0005-0000-0000-000017000000}"/>
    <cellStyle name="Normal 73" xfId="17" xr:uid="{00000000-0005-0000-0000-000018000000}"/>
    <cellStyle name="Normal 74" xfId="18" xr:uid="{00000000-0005-0000-0000-000019000000}"/>
    <cellStyle name="Normal 75" xfId="15" xr:uid="{00000000-0005-0000-0000-00001A000000}"/>
    <cellStyle name="Normal 76" xfId="19" xr:uid="{00000000-0005-0000-0000-00001B000000}"/>
    <cellStyle name="Normal 77" xfId="20" xr:uid="{00000000-0005-0000-0000-00001C000000}"/>
    <cellStyle name="Normal 78" xfId="21" xr:uid="{00000000-0005-0000-0000-00001D000000}"/>
    <cellStyle name="Normal 79" xfId="22" xr:uid="{00000000-0005-0000-0000-00001E000000}"/>
    <cellStyle name="Normal 80" xfId="23" xr:uid="{00000000-0005-0000-0000-00001F000000}"/>
    <cellStyle name="Normal 82" xfId="24" xr:uid="{00000000-0005-0000-0000-000020000000}"/>
    <cellStyle name="Normal 84" xfId="25" xr:uid="{00000000-0005-0000-0000-000021000000}"/>
    <cellStyle name="Normal 85" xfId="26" xr:uid="{00000000-0005-0000-0000-000022000000}"/>
    <cellStyle name="Normal 87" xfId="27" xr:uid="{00000000-0005-0000-0000-000023000000}"/>
    <cellStyle name="Normal 88" xfId="28" xr:uid="{00000000-0005-0000-0000-000024000000}"/>
    <cellStyle name="Normal 89" xfId="29" xr:uid="{00000000-0005-0000-0000-000025000000}"/>
    <cellStyle name="Normal 90" xfId="30" xr:uid="{00000000-0005-0000-0000-000026000000}"/>
    <cellStyle name="Normal 92" xfId="32" xr:uid="{00000000-0005-0000-0000-000027000000}"/>
    <cellStyle name="Normal 94" xfId="31" xr:uid="{00000000-0005-0000-0000-000028000000}"/>
    <cellStyle name="Percent" xfId="3" builtinId="5"/>
    <cellStyle name="Percent 460" xfId="5" xr:uid="{00000000-0005-0000-0000-00002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>
        <v>349553.65</v>
      </c>
      <c r="F47" s="184"/>
      <c r="G47" s="184"/>
      <c r="H47" s="184"/>
      <c r="I47" s="184"/>
      <c r="J47" s="184"/>
      <c r="K47" s="184"/>
      <c r="L47" s="184"/>
      <c r="M47" s="184">
        <v>37248.61</v>
      </c>
      <c r="N47" s="184">
        <v>47837.440000000002</v>
      </c>
      <c r="O47" s="184"/>
      <c r="P47" s="184">
        <v>111142.51</v>
      </c>
      <c r="Q47" s="184"/>
      <c r="R47" s="184">
        <v>35370.1</v>
      </c>
      <c r="S47" s="184"/>
      <c r="T47" s="184"/>
      <c r="U47" s="184">
        <v>112035.36</v>
      </c>
      <c r="V47" s="184"/>
      <c r="W47" s="184"/>
      <c r="X47" s="184">
        <v>1298.46</v>
      </c>
      <c r="Y47" s="184">
        <v>143126.46</v>
      </c>
      <c r="Z47" s="184"/>
      <c r="AA47" s="184"/>
      <c r="AB47" s="184">
        <v>37721.629999999997</v>
      </c>
      <c r="AC47" s="184">
        <v>10267.06</v>
      </c>
      <c r="AD47" s="184"/>
      <c r="AE47" s="184">
        <v>143598.48000000001</v>
      </c>
      <c r="AF47" s="184"/>
      <c r="AG47" s="184">
        <v>230467.86</v>
      </c>
      <c r="AH47" s="184"/>
      <c r="AI47" s="184"/>
      <c r="AJ47" s="184">
        <v>665378.87</v>
      </c>
      <c r="AK47" s="184"/>
      <c r="AL47" s="184"/>
      <c r="AM47" s="184"/>
      <c r="AN47" s="184"/>
      <c r="AO47" s="184"/>
      <c r="AP47" s="184"/>
      <c r="AQ47" s="184"/>
      <c r="AR47" s="184">
        <v>50538.28</v>
      </c>
      <c r="AS47" s="184"/>
      <c r="AT47" s="184"/>
      <c r="AU47" s="184"/>
      <c r="AV47" s="184"/>
      <c r="AW47" s="184">
        <v>21598.53</v>
      </c>
      <c r="AX47" s="184"/>
      <c r="AY47" s="184">
        <v>92173.38</v>
      </c>
      <c r="AZ47" s="184"/>
      <c r="BA47" s="184"/>
      <c r="BB47" s="184"/>
      <c r="BC47" s="184">
        <v>1014.36</v>
      </c>
      <c r="BD47" s="184">
        <v>18383.91</v>
      </c>
      <c r="BE47" s="184">
        <v>111811.51</v>
      </c>
      <c r="BF47" s="184">
        <v>82251.8</v>
      </c>
      <c r="BG47" s="184"/>
      <c r="BH47" s="184">
        <v>97946.82</v>
      </c>
      <c r="BI47" s="184"/>
      <c r="BJ47" s="184">
        <v>29413.27</v>
      </c>
      <c r="BK47" s="184">
        <v>126114.08</v>
      </c>
      <c r="BL47" s="184">
        <v>53680.19</v>
      </c>
      <c r="BM47" s="184"/>
      <c r="BN47" s="184">
        <f>389749.66+28720.78+5271.58</f>
        <v>423742.01999999996</v>
      </c>
      <c r="BO47" s="184"/>
      <c r="BP47" s="184"/>
      <c r="BQ47" s="184"/>
      <c r="BR47" s="184"/>
      <c r="BS47" s="184"/>
      <c r="BT47" s="184"/>
      <c r="BU47" s="184"/>
      <c r="BV47" s="184">
        <v>115028.42</v>
      </c>
      <c r="BW47" s="184"/>
      <c r="BX47" s="184"/>
      <c r="BY47" s="184">
        <v>70686.83</v>
      </c>
      <c r="BZ47" s="184"/>
      <c r="CA47" s="184"/>
      <c r="CB47" s="184"/>
      <c r="CC47" s="184">
        <v>6292.55</v>
      </c>
      <c r="CD47" s="195"/>
      <c r="CE47" s="195">
        <f>SUM(C47:CC47)</f>
        <v>3225722.439999999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>
        <v>0</v>
      </c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>
        <v>190970.84</v>
      </c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>
        <v>1046967.65</v>
      </c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1237938.49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4752</v>
      </c>
      <c r="AZ59" s="185">
        <f>33724+38+286</f>
        <v>34048</v>
      </c>
      <c r="BA59" s="248"/>
      <c r="BB59" s="248"/>
      <c r="BC59" s="248"/>
      <c r="BD59" s="248"/>
      <c r="BE59" s="185">
        <v>85625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/>
      <c r="D60" s="187"/>
      <c r="E60" s="187"/>
      <c r="F60" s="223"/>
      <c r="G60" s="187"/>
      <c r="H60" s="187"/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/>
      <c r="AZ60" s="221"/>
      <c r="BA60" s="221"/>
      <c r="BB60" s="221"/>
      <c r="BC60" s="221"/>
      <c r="BD60" s="221"/>
      <c r="BE60" s="221"/>
      <c r="BF60" s="221"/>
      <c r="BG60" s="221"/>
      <c r="BH60" s="221"/>
      <c r="BI60" s="221"/>
      <c r="BJ60" s="221"/>
      <c r="BK60" s="221"/>
      <c r="BL60" s="221"/>
      <c r="BM60" s="221"/>
      <c r="BN60" s="221"/>
      <c r="BO60" s="221"/>
      <c r="BP60" s="221"/>
      <c r="BQ60" s="221"/>
      <c r="BR60" s="221"/>
      <c r="BS60" s="221"/>
      <c r="BT60" s="221"/>
      <c r="BU60" s="221"/>
      <c r="BV60" s="221"/>
      <c r="BW60" s="221"/>
      <c r="BX60" s="221"/>
      <c r="BY60" s="221"/>
      <c r="BZ60" s="221"/>
      <c r="CA60" s="221"/>
      <c r="CB60" s="221"/>
      <c r="CC60" s="221"/>
      <c r="CD60" s="249" t="s">
        <v>221</v>
      </c>
      <c r="CE60" s="251">
        <f t="shared" ref="CE60:CE70" si="0">SUM(C60:CD60)</f>
        <v>0</v>
      </c>
    </row>
    <row r="61" spans="1:84" ht="12.6" customHeight="1" x14ac:dyDescent="0.25">
      <c r="A61" s="171" t="s">
        <v>235</v>
      </c>
      <c r="B61" s="175"/>
      <c r="C61" s="184"/>
      <c r="D61" s="184"/>
      <c r="E61" s="184">
        <v>1346064.15</v>
      </c>
      <c r="F61" s="185"/>
      <c r="G61" s="184"/>
      <c r="H61" s="184"/>
      <c r="I61" s="185"/>
      <c r="J61" s="185"/>
      <c r="K61" s="185"/>
      <c r="L61" s="185"/>
      <c r="M61" s="184">
        <v>277271.57</v>
      </c>
      <c r="N61" s="184">
        <v>234287.22</v>
      </c>
      <c r="O61" s="184"/>
      <c r="P61" s="185">
        <v>691273.08</v>
      </c>
      <c r="Q61" s="185"/>
      <c r="R61" s="185">
        <v>217618.6</v>
      </c>
      <c r="S61" s="185"/>
      <c r="T61" s="185"/>
      <c r="U61" s="185">
        <v>564173.72</v>
      </c>
      <c r="V61" s="185"/>
      <c r="W61" s="185"/>
      <c r="X61" s="185">
        <v>77739.73</v>
      </c>
      <c r="Y61" s="185">
        <v>623447.05000000005</v>
      </c>
      <c r="Z61" s="185"/>
      <c r="AA61" s="185"/>
      <c r="AB61" s="185">
        <v>240010.3</v>
      </c>
      <c r="AC61" s="185">
        <v>54649.26</v>
      </c>
      <c r="AD61" s="185"/>
      <c r="AE61" s="185">
        <v>641608.28</v>
      </c>
      <c r="AF61" s="185"/>
      <c r="AG61" s="185">
        <v>1415817.08</v>
      </c>
      <c r="AH61" s="185"/>
      <c r="AI61" s="185"/>
      <c r="AJ61" s="185">
        <v>2663615.91</v>
      </c>
      <c r="AK61" s="185"/>
      <c r="AL61" s="185"/>
      <c r="AM61" s="185"/>
      <c r="AN61" s="185"/>
      <c r="AO61" s="185"/>
      <c r="AP61" s="185"/>
      <c r="AQ61" s="185"/>
      <c r="AR61" s="185">
        <v>297890.09999999998</v>
      </c>
      <c r="AS61" s="185"/>
      <c r="AT61" s="185"/>
      <c r="AU61" s="185"/>
      <c r="AV61" s="185"/>
      <c r="AW61" s="185">
        <v>79360.77</v>
      </c>
      <c r="AX61" s="185"/>
      <c r="AY61" s="185">
        <v>271147.84000000003</v>
      </c>
      <c r="AZ61" s="185"/>
      <c r="BA61" s="185"/>
      <c r="BB61" s="185"/>
      <c r="BC61" s="185">
        <v>10159.049999999999</v>
      </c>
      <c r="BD61" s="185">
        <v>56107.95</v>
      </c>
      <c r="BE61" s="185">
        <v>448193.66</v>
      </c>
      <c r="BF61" s="185">
        <v>311676.18</v>
      </c>
      <c r="BG61" s="185"/>
      <c r="BH61" s="185">
        <v>381722.46</v>
      </c>
      <c r="BI61" s="185"/>
      <c r="BJ61" s="185">
        <v>152224.9</v>
      </c>
      <c r="BK61" s="185">
        <v>431676.36</v>
      </c>
      <c r="BL61" s="185">
        <v>184001.27</v>
      </c>
      <c r="BM61" s="185"/>
      <c r="BN61" s="185">
        <f>8696.75+853072.52</f>
        <v>861769.27</v>
      </c>
      <c r="BO61" s="185"/>
      <c r="BP61" s="185"/>
      <c r="BQ61" s="185"/>
      <c r="BR61" s="185"/>
      <c r="BS61" s="185"/>
      <c r="BT61" s="185"/>
      <c r="BU61" s="185"/>
      <c r="BV61" s="185">
        <v>294378.23999999999</v>
      </c>
      <c r="BW61" s="185"/>
      <c r="BX61" s="185"/>
      <c r="BY61" s="185">
        <v>239527.13</v>
      </c>
      <c r="BZ61" s="185"/>
      <c r="CA61" s="185"/>
      <c r="CB61" s="185"/>
      <c r="CC61" s="185">
        <v>69375.039999999994</v>
      </c>
      <c r="CD61" s="249" t="s">
        <v>221</v>
      </c>
      <c r="CE61" s="195">
        <f t="shared" si="0"/>
        <v>13136786.169999998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349554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37249</v>
      </c>
      <c r="N62" s="195">
        <f t="shared" si="1"/>
        <v>47837</v>
      </c>
      <c r="O62" s="195">
        <f t="shared" si="1"/>
        <v>0</v>
      </c>
      <c r="P62" s="195">
        <f t="shared" si="1"/>
        <v>111143</v>
      </c>
      <c r="Q62" s="195">
        <f t="shared" si="1"/>
        <v>0</v>
      </c>
      <c r="R62" s="195">
        <f t="shared" si="1"/>
        <v>35370</v>
      </c>
      <c r="S62" s="195">
        <f t="shared" si="1"/>
        <v>0</v>
      </c>
      <c r="T62" s="195">
        <f t="shared" si="1"/>
        <v>0</v>
      </c>
      <c r="U62" s="195">
        <f t="shared" si="1"/>
        <v>112035</v>
      </c>
      <c r="V62" s="195">
        <f t="shared" si="1"/>
        <v>0</v>
      </c>
      <c r="W62" s="195">
        <f t="shared" si="1"/>
        <v>0</v>
      </c>
      <c r="X62" s="195">
        <f t="shared" si="1"/>
        <v>1298</v>
      </c>
      <c r="Y62" s="195">
        <f t="shared" si="1"/>
        <v>143126</v>
      </c>
      <c r="Z62" s="195">
        <f t="shared" si="1"/>
        <v>0</v>
      </c>
      <c r="AA62" s="195">
        <f t="shared" si="1"/>
        <v>0</v>
      </c>
      <c r="AB62" s="195">
        <f t="shared" si="1"/>
        <v>37722</v>
      </c>
      <c r="AC62" s="195">
        <f t="shared" si="1"/>
        <v>10267</v>
      </c>
      <c r="AD62" s="195">
        <f t="shared" si="1"/>
        <v>0</v>
      </c>
      <c r="AE62" s="195">
        <f t="shared" si="1"/>
        <v>143598</v>
      </c>
      <c r="AF62" s="195">
        <f t="shared" si="1"/>
        <v>0</v>
      </c>
      <c r="AG62" s="195">
        <f t="shared" si="1"/>
        <v>230468</v>
      </c>
      <c r="AH62" s="195">
        <f t="shared" si="1"/>
        <v>0</v>
      </c>
      <c r="AI62" s="195">
        <f t="shared" si="1"/>
        <v>0</v>
      </c>
      <c r="AJ62" s="195">
        <f t="shared" si="1"/>
        <v>665379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50538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21599</v>
      </c>
      <c r="AX62" s="195">
        <f t="shared" si="1"/>
        <v>0</v>
      </c>
      <c r="AY62" s="195">
        <f>ROUND(AY47+AY48,0)</f>
        <v>92173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1014</v>
      </c>
      <c r="BD62" s="195">
        <f t="shared" si="1"/>
        <v>18384</v>
      </c>
      <c r="BE62" s="195">
        <f t="shared" si="1"/>
        <v>111812</v>
      </c>
      <c r="BF62" s="195">
        <f t="shared" si="1"/>
        <v>82252</v>
      </c>
      <c r="BG62" s="195">
        <f t="shared" si="1"/>
        <v>0</v>
      </c>
      <c r="BH62" s="195">
        <f t="shared" si="1"/>
        <v>97947</v>
      </c>
      <c r="BI62" s="195">
        <f t="shared" si="1"/>
        <v>0</v>
      </c>
      <c r="BJ62" s="195">
        <f t="shared" si="1"/>
        <v>29413</v>
      </c>
      <c r="BK62" s="195">
        <f t="shared" si="1"/>
        <v>126114</v>
      </c>
      <c r="BL62" s="195">
        <f t="shared" si="1"/>
        <v>53680</v>
      </c>
      <c r="BM62" s="195">
        <f t="shared" si="1"/>
        <v>0</v>
      </c>
      <c r="BN62" s="195">
        <f t="shared" si="1"/>
        <v>423742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115028</v>
      </c>
      <c r="BW62" s="195">
        <f t="shared" si="2"/>
        <v>0</v>
      </c>
      <c r="BX62" s="195">
        <f t="shared" si="2"/>
        <v>0</v>
      </c>
      <c r="BY62" s="195">
        <f t="shared" si="2"/>
        <v>70687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6293</v>
      </c>
      <c r="CD62" s="249" t="s">
        <v>221</v>
      </c>
      <c r="CE62" s="195">
        <f t="shared" si="0"/>
        <v>3225722</v>
      </c>
      <c r="CF62" s="252"/>
    </row>
    <row r="63" spans="1:84" ht="12.6" customHeight="1" x14ac:dyDescent="0.25">
      <c r="A63" s="171" t="s">
        <v>236</v>
      </c>
      <c r="B63" s="175"/>
      <c r="C63" s="184"/>
      <c r="D63" s="184"/>
      <c r="E63" s="184">
        <v>952805.29</v>
      </c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>
        <v>474509.99</v>
      </c>
      <c r="Q63" s="185"/>
      <c r="R63" s="185">
        <v>104570.21</v>
      </c>
      <c r="S63" s="185"/>
      <c r="T63" s="185"/>
      <c r="U63" s="185">
        <v>107790.5</v>
      </c>
      <c r="V63" s="185"/>
      <c r="W63" s="185">
        <v>51646.080000000002</v>
      </c>
      <c r="X63" s="185">
        <v>138571.17000000001</v>
      </c>
      <c r="Y63" s="185">
        <v>246096.88</v>
      </c>
      <c r="Z63" s="185"/>
      <c r="AA63" s="185"/>
      <c r="AB63" s="185">
        <v>1969.37</v>
      </c>
      <c r="AC63" s="185"/>
      <c r="AD63" s="185"/>
      <c r="AE63" s="185">
        <v>71645</v>
      </c>
      <c r="AF63" s="185"/>
      <c r="AG63" s="185">
        <v>823770.85</v>
      </c>
      <c r="AH63" s="185"/>
      <c r="AI63" s="185"/>
      <c r="AJ63" s="185">
        <v>65946.039999999994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>
        <v>10412.86</v>
      </c>
      <c r="AX63" s="185"/>
      <c r="AY63" s="185">
        <v>7887.86</v>
      </c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>
        <v>24085.95</v>
      </c>
      <c r="BL63" s="185"/>
      <c r="BM63" s="185"/>
      <c r="BN63" s="185">
        <v>24690.240000000002</v>
      </c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9" t="s">
        <v>221</v>
      </c>
      <c r="CE63" s="195">
        <f t="shared" si="0"/>
        <v>3106398.2900000005</v>
      </c>
      <c r="CF63" s="252"/>
    </row>
    <row r="64" spans="1:84" ht="12.6" customHeight="1" x14ac:dyDescent="0.25">
      <c r="A64" s="171" t="s">
        <v>237</v>
      </c>
      <c r="B64" s="175"/>
      <c r="C64" s="184"/>
      <c r="D64" s="184"/>
      <c r="E64" s="185">
        <v>96775.86</v>
      </c>
      <c r="F64" s="185"/>
      <c r="G64" s="184"/>
      <c r="H64" s="184"/>
      <c r="I64" s="185"/>
      <c r="J64" s="185"/>
      <c r="K64" s="185"/>
      <c r="L64" s="185"/>
      <c r="M64" s="184">
        <v>66056.34</v>
      </c>
      <c r="N64" s="184">
        <v>580.5</v>
      </c>
      <c r="O64" s="184"/>
      <c r="P64" s="185">
        <v>259331.29</v>
      </c>
      <c r="Q64" s="185"/>
      <c r="R64" s="185">
        <v>14233.41</v>
      </c>
      <c r="S64" s="185"/>
      <c r="T64" s="185"/>
      <c r="U64" s="185">
        <v>347042.09</v>
      </c>
      <c r="V64" s="185"/>
      <c r="W64" s="185"/>
      <c r="X64" s="185">
        <v>47904.29</v>
      </c>
      <c r="Y64" s="185">
        <v>29845.22</v>
      </c>
      <c r="Z64" s="185"/>
      <c r="AA64" s="185"/>
      <c r="AB64" s="185">
        <v>180404.31</v>
      </c>
      <c r="AC64" s="185">
        <v>-1707.8</v>
      </c>
      <c r="AD64" s="185"/>
      <c r="AE64" s="185">
        <v>15145.2</v>
      </c>
      <c r="AF64" s="185"/>
      <c r="AG64" s="185">
        <v>67958.759999999995</v>
      </c>
      <c r="AH64" s="185"/>
      <c r="AI64" s="185"/>
      <c r="AJ64" s="185">
        <v>186311.52</v>
      </c>
      <c r="AK64" s="185"/>
      <c r="AL64" s="185"/>
      <c r="AM64" s="185"/>
      <c r="AN64" s="185"/>
      <c r="AO64" s="185"/>
      <c r="AP64" s="185"/>
      <c r="AQ64" s="185"/>
      <c r="AR64" s="185">
        <v>16062.14</v>
      </c>
      <c r="AS64" s="185"/>
      <c r="AT64" s="185"/>
      <c r="AU64" s="185"/>
      <c r="AV64" s="185"/>
      <c r="AW64" s="185">
        <v>859.9</v>
      </c>
      <c r="AX64" s="185"/>
      <c r="AY64" s="185">
        <v>180598.47</v>
      </c>
      <c r="AZ64" s="185"/>
      <c r="BA64" s="185"/>
      <c r="BB64" s="185"/>
      <c r="BC64" s="185">
        <v>3016.66</v>
      </c>
      <c r="BD64" s="185">
        <v>1139.9000000000001</v>
      </c>
      <c r="BE64" s="185">
        <v>40786.43</v>
      </c>
      <c r="BF64" s="185">
        <v>44834.14</v>
      </c>
      <c r="BG64" s="185"/>
      <c r="BH64" s="185">
        <v>49773.42</v>
      </c>
      <c r="BI64" s="185"/>
      <c r="BJ64" s="185">
        <v>5919.13</v>
      </c>
      <c r="BK64" s="185">
        <v>4561.24</v>
      </c>
      <c r="BL64" s="185">
        <v>9622.34</v>
      </c>
      <c r="BM64" s="185"/>
      <c r="BN64" s="185">
        <v>42108.63</v>
      </c>
      <c r="BO64" s="185"/>
      <c r="BP64" s="185"/>
      <c r="BQ64" s="185"/>
      <c r="BR64" s="185"/>
      <c r="BS64" s="185"/>
      <c r="BT64" s="185"/>
      <c r="BU64" s="185"/>
      <c r="BV64" s="185">
        <v>1609.79</v>
      </c>
      <c r="BW64" s="185"/>
      <c r="BX64" s="185"/>
      <c r="BY64" s="185">
        <v>1696.59</v>
      </c>
      <c r="BZ64" s="185"/>
      <c r="CA64" s="185"/>
      <c r="CB64" s="185"/>
      <c r="CC64" s="185">
        <v>7845.24</v>
      </c>
      <c r="CD64" s="249" t="s">
        <v>221</v>
      </c>
      <c r="CE64" s="195">
        <f t="shared" si="0"/>
        <v>1720315.0099999993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>
        <v>8305.01</v>
      </c>
      <c r="F65" s="184"/>
      <c r="G65" s="184"/>
      <c r="H65" s="184"/>
      <c r="I65" s="185"/>
      <c r="J65" s="184"/>
      <c r="K65" s="185"/>
      <c r="L65" s="185"/>
      <c r="M65" s="184">
        <v>416.30200000000002</v>
      </c>
      <c r="N65" s="184"/>
      <c r="O65" s="184"/>
      <c r="P65" s="185"/>
      <c r="Q65" s="185"/>
      <c r="R65" s="185"/>
      <c r="S65" s="185"/>
      <c r="T65" s="185"/>
      <c r="U65" s="185"/>
      <c r="V65" s="185"/>
      <c r="W65" s="185">
        <v>797.01</v>
      </c>
      <c r="X65" s="185">
        <v>1992.57</v>
      </c>
      <c r="Y65" s="185">
        <v>5018.09</v>
      </c>
      <c r="Z65" s="185"/>
      <c r="AA65" s="185"/>
      <c r="AB65" s="185"/>
      <c r="AC65" s="185"/>
      <c r="AD65" s="185"/>
      <c r="AE65" s="185"/>
      <c r="AF65" s="185"/>
      <c r="AG65" s="185">
        <v>319.47000000000003</v>
      </c>
      <c r="AH65" s="185"/>
      <c r="AI65" s="185"/>
      <c r="AJ65" s="185">
        <v>51216.13</v>
      </c>
      <c r="AK65" s="185"/>
      <c r="AL65" s="185"/>
      <c r="AM65" s="185"/>
      <c r="AN65" s="185"/>
      <c r="AO65" s="185"/>
      <c r="AP65" s="185"/>
      <c r="AQ65" s="185"/>
      <c r="AR65" s="185">
        <v>55.44</v>
      </c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241058.97</v>
      </c>
      <c r="BF65" s="185">
        <v>506.93</v>
      </c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9" t="s">
        <v>221</v>
      </c>
      <c r="CE65" s="195">
        <f t="shared" si="0"/>
        <v>309685.92199999996</v>
      </c>
      <c r="CF65" s="252"/>
    </row>
    <row r="66" spans="1:84" ht="12.6" customHeight="1" x14ac:dyDescent="0.25">
      <c r="A66" s="171" t="s">
        <v>239</v>
      </c>
      <c r="B66" s="175"/>
      <c r="C66" s="184"/>
      <c r="D66" s="184"/>
      <c r="E66" s="184">
        <v>40789.72</v>
      </c>
      <c r="F66" s="184"/>
      <c r="G66" s="184"/>
      <c r="H66" s="184"/>
      <c r="I66" s="184"/>
      <c r="J66" s="184"/>
      <c r="K66" s="185"/>
      <c r="L66" s="185"/>
      <c r="M66" s="184">
        <v>1469.83</v>
      </c>
      <c r="N66" s="184">
        <v>217.69</v>
      </c>
      <c r="O66" s="185"/>
      <c r="P66" s="185">
        <v>26143.33</v>
      </c>
      <c r="Q66" s="185"/>
      <c r="R66" s="185"/>
      <c r="S66" s="184"/>
      <c r="T66" s="184"/>
      <c r="U66" s="185">
        <v>139387.82999999999</v>
      </c>
      <c r="V66" s="185"/>
      <c r="W66" s="185">
        <v>1439.38</v>
      </c>
      <c r="X66" s="185">
        <v>99021.73</v>
      </c>
      <c r="Y66" s="185">
        <v>140598.70000000001</v>
      </c>
      <c r="Z66" s="185"/>
      <c r="AA66" s="185"/>
      <c r="AB66" s="185">
        <v>86595.5</v>
      </c>
      <c r="AC66" s="185">
        <v>376.35</v>
      </c>
      <c r="AD66" s="185"/>
      <c r="AE66" s="185">
        <v>43484.61</v>
      </c>
      <c r="AF66" s="185"/>
      <c r="AG66" s="185">
        <v>13846.18</v>
      </c>
      <c r="AH66" s="185"/>
      <c r="AI66" s="185"/>
      <c r="AJ66" s="185">
        <v>149647.88</v>
      </c>
      <c r="AK66" s="185"/>
      <c r="AL66" s="185"/>
      <c r="AM66" s="185"/>
      <c r="AN66" s="185"/>
      <c r="AO66" s="185"/>
      <c r="AP66" s="185"/>
      <c r="AQ66" s="185"/>
      <c r="AR66" s="185">
        <v>16207.02</v>
      </c>
      <c r="AS66" s="185"/>
      <c r="AT66" s="185"/>
      <c r="AU66" s="185"/>
      <c r="AV66" s="185"/>
      <c r="AW66" s="185">
        <v>36.549999999999997</v>
      </c>
      <c r="AX66" s="185"/>
      <c r="AY66" s="185">
        <v>6346.33</v>
      </c>
      <c r="AZ66" s="185"/>
      <c r="BA66" s="185"/>
      <c r="BB66" s="185"/>
      <c r="BC66" s="185"/>
      <c r="BD66" s="185"/>
      <c r="BE66" s="185">
        <v>100477.56</v>
      </c>
      <c r="BF66" s="185">
        <v>117307.13</v>
      </c>
      <c r="BG66" s="185"/>
      <c r="BH66" s="185">
        <v>443589.37</v>
      </c>
      <c r="BI66" s="185"/>
      <c r="BJ66" s="185">
        <v>135608.38</v>
      </c>
      <c r="BK66" s="185">
        <v>330038.27</v>
      </c>
      <c r="BL66" s="185">
        <v>576.45000000000005</v>
      </c>
      <c r="BM66" s="185"/>
      <c r="BN66" s="185">
        <f>121433.98+23118.19+2242.44+86.23+5380.4+423.98</f>
        <v>152685.22</v>
      </c>
      <c r="BO66" s="185"/>
      <c r="BP66" s="185"/>
      <c r="BQ66" s="185"/>
      <c r="BR66" s="185"/>
      <c r="BS66" s="185"/>
      <c r="BT66" s="185"/>
      <c r="BU66" s="185"/>
      <c r="BV66" s="185">
        <v>14728.32</v>
      </c>
      <c r="BW66" s="185"/>
      <c r="BX66" s="185"/>
      <c r="BY66" s="185"/>
      <c r="BZ66" s="185"/>
      <c r="CA66" s="185"/>
      <c r="CB66" s="185"/>
      <c r="CC66" s="185"/>
      <c r="CD66" s="249" t="s">
        <v>221</v>
      </c>
      <c r="CE66" s="195">
        <f t="shared" si="0"/>
        <v>2060619.3299999998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>ROUND(P51+P52,0)</f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0</v>
      </c>
      <c r="AC67" s="195">
        <f t="shared" si="3"/>
        <v>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190971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0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1046968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1237939</v>
      </c>
      <c r="CF67" s="252"/>
    </row>
    <row r="68" spans="1:84" ht="12.6" customHeight="1" x14ac:dyDescent="0.25">
      <c r="A68" s="171" t="s">
        <v>240</v>
      </c>
      <c r="B68" s="175"/>
      <c r="C68" s="184"/>
      <c r="D68" s="184"/>
      <c r="E68" s="184">
        <v>52794.39</v>
      </c>
      <c r="F68" s="184"/>
      <c r="G68" s="184"/>
      <c r="H68" s="184"/>
      <c r="I68" s="184"/>
      <c r="J68" s="184"/>
      <c r="K68" s="185"/>
      <c r="L68" s="185"/>
      <c r="M68" s="184">
        <v>8725.18</v>
      </c>
      <c r="N68" s="184"/>
      <c r="O68" s="184"/>
      <c r="P68" s="185">
        <v>9789.93</v>
      </c>
      <c r="Q68" s="185"/>
      <c r="R68" s="185"/>
      <c r="S68" s="185"/>
      <c r="T68" s="185"/>
      <c r="U68" s="185">
        <v>23830.58</v>
      </c>
      <c r="V68" s="185"/>
      <c r="W68" s="185">
        <v>248304.09</v>
      </c>
      <c r="X68" s="185"/>
      <c r="Y68" s="185">
        <v>24143.5</v>
      </c>
      <c r="Z68" s="185"/>
      <c r="AA68" s="185"/>
      <c r="AB68" s="185">
        <v>8807.1200000000008</v>
      </c>
      <c r="AC68" s="185"/>
      <c r="AD68" s="185"/>
      <c r="AE68" s="185"/>
      <c r="AF68" s="185"/>
      <c r="AG68" s="185">
        <v>21932.38</v>
      </c>
      <c r="AH68" s="185"/>
      <c r="AI68" s="185"/>
      <c r="AJ68" s="185">
        <v>10034.07</v>
      </c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>
        <v>1914.35</v>
      </c>
      <c r="BF68" s="185"/>
      <c r="BG68" s="185"/>
      <c r="BH68" s="185"/>
      <c r="BI68" s="185"/>
      <c r="BJ68" s="185">
        <v>3137.54</v>
      </c>
      <c r="BK68" s="185">
        <v>2243.4699999999998</v>
      </c>
      <c r="BL68" s="185">
        <v>1807.06</v>
      </c>
      <c r="BM68" s="185"/>
      <c r="BN68" s="185">
        <v>15703.52</v>
      </c>
      <c r="BO68" s="185"/>
      <c r="BP68" s="185"/>
      <c r="BQ68" s="185"/>
      <c r="BR68" s="185"/>
      <c r="BS68" s="185"/>
      <c r="BT68" s="185"/>
      <c r="BU68" s="185"/>
      <c r="BV68" s="185">
        <v>2243.41</v>
      </c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435410.58999999991</v>
      </c>
      <c r="CF68" s="252"/>
    </row>
    <row r="69" spans="1:84" ht="12.6" customHeight="1" x14ac:dyDescent="0.25">
      <c r="A69" s="171" t="s">
        <v>241</v>
      </c>
      <c r="B69" s="175"/>
      <c r="C69" s="184"/>
      <c r="D69" s="184"/>
      <c r="E69" s="185">
        <v>23884.58</v>
      </c>
      <c r="F69" s="185"/>
      <c r="G69" s="184"/>
      <c r="H69" s="184"/>
      <c r="I69" s="185"/>
      <c r="J69" s="185"/>
      <c r="K69" s="185"/>
      <c r="L69" s="185"/>
      <c r="M69" s="184">
        <v>5977.5</v>
      </c>
      <c r="N69" s="184">
        <v>12204.07</v>
      </c>
      <c r="O69" s="184"/>
      <c r="P69" s="185">
        <v>10868.32</v>
      </c>
      <c r="Q69" s="185"/>
      <c r="R69" s="224">
        <v>1823.5</v>
      </c>
      <c r="S69" s="185"/>
      <c r="T69" s="184"/>
      <c r="U69" s="185">
        <v>7854.01</v>
      </c>
      <c r="V69" s="185"/>
      <c r="W69" s="184"/>
      <c r="X69" s="185">
        <v>3579</v>
      </c>
      <c r="Y69" s="185">
        <v>4504.46</v>
      </c>
      <c r="Z69" s="185"/>
      <c r="AA69" s="185"/>
      <c r="AB69" s="185">
        <v>5703.12</v>
      </c>
      <c r="AC69" s="185"/>
      <c r="AD69" s="185"/>
      <c r="AE69" s="185">
        <v>7925.23</v>
      </c>
      <c r="AF69" s="185"/>
      <c r="AG69" s="185">
        <v>11099.5</v>
      </c>
      <c r="AH69" s="185"/>
      <c r="AI69" s="185"/>
      <c r="AJ69" s="185">
        <v>137148.07999999999</v>
      </c>
      <c r="AK69" s="185"/>
      <c r="AL69" s="185"/>
      <c r="AM69" s="185"/>
      <c r="AN69" s="185"/>
      <c r="AO69" s="184"/>
      <c r="AP69" s="185"/>
      <c r="AQ69" s="184"/>
      <c r="AR69" s="184">
        <v>15984.9</v>
      </c>
      <c r="AS69" s="184"/>
      <c r="AT69" s="184"/>
      <c r="AU69" s="185"/>
      <c r="AV69" s="185"/>
      <c r="AW69" s="185">
        <v>2268.38</v>
      </c>
      <c r="AX69" s="185"/>
      <c r="AY69" s="185">
        <v>1798.32</v>
      </c>
      <c r="AZ69" s="185"/>
      <c r="BA69" s="185"/>
      <c r="BB69" s="185"/>
      <c r="BC69" s="185">
        <v>2323</v>
      </c>
      <c r="BD69" s="185"/>
      <c r="BE69" s="185">
        <v>54280.12</v>
      </c>
      <c r="BF69" s="185">
        <v>573.36</v>
      </c>
      <c r="BG69" s="185"/>
      <c r="BH69" s="224">
        <v>12272.14</v>
      </c>
      <c r="BI69" s="185"/>
      <c r="BJ69" s="185">
        <v>1969.95</v>
      </c>
      <c r="BK69" s="185">
        <v>61714.79</v>
      </c>
      <c r="BL69" s="185">
        <v>392.94</v>
      </c>
      <c r="BM69" s="185"/>
      <c r="BN69" s="185">
        <f>242154+535784.76</f>
        <v>777938.76</v>
      </c>
      <c r="BO69" s="185"/>
      <c r="BP69" s="185"/>
      <c r="BQ69" s="185"/>
      <c r="BR69" s="185"/>
      <c r="BS69" s="185"/>
      <c r="BT69" s="185"/>
      <c r="BU69" s="185"/>
      <c r="BV69" s="185">
        <v>1802.06</v>
      </c>
      <c r="BW69" s="185"/>
      <c r="BX69" s="185"/>
      <c r="BY69" s="185">
        <v>1317.24</v>
      </c>
      <c r="BZ69" s="185"/>
      <c r="CA69" s="185"/>
      <c r="CB69" s="185"/>
      <c r="CC69" s="185">
        <v>665.78</v>
      </c>
      <c r="CD69" s="188"/>
      <c r="CE69" s="195">
        <f t="shared" si="0"/>
        <v>1167873.1100000001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>SUM(E61:E69)-E70</f>
        <v>2870973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397165.72200000007</v>
      </c>
      <c r="N71" s="195">
        <f t="shared" si="5"/>
        <v>295126.48</v>
      </c>
      <c r="O71" s="195">
        <f t="shared" si="5"/>
        <v>0</v>
      </c>
      <c r="P71" s="195">
        <f>SUM(P61:P69)-P70</f>
        <v>1583058.94</v>
      </c>
      <c r="Q71" s="195">
        <f t="shared" si="5"/>
        <v>0</v>
      </c>
      <c r="R71" s="195">
        <f t="shared" si="5"/>
        <v>373615.72</v>
      </c>
      <c r="S71" s="195">
        <f t="shared" si="5"/>
        <v>0</v>
      </c>
      <c r="T71" s="195">
        <f t="shared" si="5"/>
        <v>0</v>
      </c>
      <c r="U71" s="195">
        <f t="shared" si="5"/>
        <v>1302113.7300000002</v>
      </c>
      <c r="V71" s="195">
        <f t="shared" si="5"/>
        <v>0</v>
      </c>
      <c r="W71" s="195">
        <f t="shared" si="5"/>
        <v>302186.56</v>
      </c>
      <c r="X71" s="195">
        <f t="shared" si="5"/>
        <v>370106.49</v>
      </c>
      <c r="Y71" s="195">
        <f t="shared" si="5"/>
        <v>1216779.8999999999</v>
      </c>
      <c r="Z71" s="195">
        <f t="shared" si="5"/>
        <v>0</v>
      </c>
      <c r="AA71" s="195">
        <f t="shared" si="5"/>
        <v>0</v>
      </c>
      <c r="AB71" s="195">
        <f t="shared" si="5"/>
        <v>561211.72</v>
      </c>
      <c r="AC71" s="195">
        <f t="shared" si="5"/>
        <v>63584.81</v>
      </c>
      <c r="AD71" s="195">
        <f t="shared" si="5"/>
        <v>0</v>
      </c>
      <c r="AE71" s="195">
        <f t="shared" si="5"/>
        <v>923406.32</v>
      </c>
      <c r="AF71" s="195">
        <f t="shared" si="5"/>
        <v>0</v>
      </c>
      <c r="AG71" s="195">
        <f t="shared" si="5"/>
        <v>2585212.2200000002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4120269.63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396737.60000000003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114537.46</v>
      </c>
      <c r="AX71" s="195">
        <f t="shared" si="6"/>
        <v>0</v>
      </c>
      <c r="AY71" s="195">
        <f t="shared" si="6"/>
        <v>559951.81999999995</v>
      </c>
      <c r="AZ71" s="195">
        <f t="shared" si="6"/>
        <v>0</v>
      </c>
      <c r="BA71" s="195">
        <f t="shared" si="6"/>
        <v>0</v>
      </c>
      <c r="BB71" s="195">
        <f t="shared" si="6"/>
        <v>0</v>
      </c>
      <c r="BC71" s="195">
        <f t="shared" si="6"/>
        <v>16512.71</v>
      </c>
      <c r="BD71" s="195">
        <f t="shared" si="6"/>
        <v>75631.849999999991</v>
      </c>
      <c r="BE71" s="195">
        <f t="shared" si="6"/>
        <v>998523.08999999985</v>
      </c>
      <c r="BF71" s="195">
        <f t="shared" si="6"/>
        <v>557149.74</v>
      </c>
      <c r="BG71" s="195">
        <f t="shared" si="6"/>
        <v>0</v>
      </c>
      <c r="BH71" s="195">
        <f t="shared" si="6"/>
        <v>985304.39</v>
      </c>
      <c r="BI71" s="195">
        <f t="shared" si="6"/>
        <v>0</v>
      </c>
      <c r="BJ71" s="195">
        <f t="shared" si="6"/>
        <v>328272.90000000002</v>
      </c>
      <c r="BK71" s="195">
        <f t="shared" si="6"/>
        <v>980434.08</v>
      </c>
      <c r="BL71" s="195">
        <f t="shared" si="6"/>
        <v>250080.06</v>
      </c>
      <c r="BM71" s="195">
        <f t="shared" si="6"/>
        <v>0</v>
      </c>
      <c r="BN71" s="195">
        <f t="shared" si="6"/>
        <v>3345605.6399999997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429789.81999999995</v>
      </c>
      <c r="BW71" s="195">
        <f t="shared" si="7"/>
        <v>0</v>
      </c>
      <c r="BX71" s="195">
        <f t="shared" si="7"/>
        <v>0</v>
      </c>
      <c r="BY71" s="195">
        <f t="shared" si="7"/>
        <v>313227.96000000002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84179.06</v>
      </c>
      <c r="CD71" s="245">
        <f>CD69-CD70</f>
        <v>0</v>
      </c>
      <c r="CE71" s="195">
        <f>SUM(CE61:CE69)-CE70</f>
        <v>26400749.421999991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/>
      <c r="D73" s="184"/>
      <c r="E73" s="185">
        <v>1726207.2</v>
      </c>
      <c r="F73" s="185"/>
      <c r="G73" s="184"/>
      <c r="H73" s="184"/>
      <c r="I73" s="185"/>
      <c r="J73" s="185"/>
      <c r="K73" s="185"/>
      <c r="L73" s="185"/>
      <c r="M73" s="184"/>
      <c r="N73" s="184"/>
      <c r="O73" s="184"/>
      <c r="P73" s="185">
        <v>8073</v>
      </c>
      <c r="Q73" s="185"/>
      <c r="R73" s="185">
        <v>3990</v>
      </c>
      <c r="S73" s="185"/>
      <c r="T73" s="185"/>
      <c r="U73" s="185">
        <v>255626.71</v>
      </c>
      <c r="V73" s="185"/>
      <c r="W73" s="185">
        <v>45563</v>
      </c>
      <c r="X73" s="185">
        <v>152787</v>
      </c>
      <c r="Y73" s="185">
        <v>246652</v>
      </c>
      <c r="Z73" s="185"/>
      <c r="AA73" s="185"/>
      <c r="AB73" s="185">
        <v>654020.57999999996</v>
      </c>
      <c r="AC73" s="185">
        <v>49346</v>
      </c>
      <c r="AD73" s="185"/>
      <c r="AE73" s="185">
        <v>183699</v>
      </c>
      <c r="AF73" s="185"/>
      <c r="AG73" s="185">
        <v>91392</v>
      </c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3417356.49</v>
      </c>
      <c r="CF73" s="252"/>
    </row>
    <row r="74" spans="1:84" ht="12.6" customHeight="1" x14ac:dyDescent="0.25">
      <c r="A74" s="171" t="s">
        <v>246</v>
      </c>
      <c r="B74" s="175"/>
      <c r="C74" s="184"/>
      <c r="D74" s="184"/>
      <c r="E74" s="185">
        <v>918126.67</v>
      </c>
      <c r="F74" s="185"/>
      <c r="G74" s="184"/>
      <c r="H74" s="184"/>
      <c r="I74" s="184"/>
      <c r="J74" s="185"/>
      <c r="K74" s="185"/>
      <c r="L74" s="185"/>
      <c r="M74" s="184">
        <v>677430</v>
      </c>
      <c r="N74" s="184">
        <v>549689</v>
      </c>
      <c r="O74" s="184"/>
      <c r="P74" s="185">
        <v>2868411.3</v>
      </c>
      <c r="Q74" s="185"/>
      <c r="R74" s="185">
        <v>273058</v>
      </c>
      <c r="S74" s="185"/>
      <c r="T74" s="185"/>
      <c r="U74" s="185">
        <v>5093331.6900000004</v>
      </c>
      <c r="V74" s="185"/>
      <c r="W74" s="185">
        <v>1504890</v>
      </c>
      <c r="X74" s="185">
        <v>4864076</v>
      </c>
      <c r="Y74" s="185">
        <v>4698013.82</v>
      </c>
      <c r="Z74" s="185"/>
      <c r="AA74" s="185"/>
      <c r="AB74" s="185">
        <v>1248165.57</v>
      </c>
      <c r="AC74" s="185">
        <v>178306.92</v>
      </c>
      <c r="AD74" s="185"/>
      <c r="AE74" s="185">
        <v>1930777.39</v>
      </c>
      <c r="AF74" s="185"/>
      <c r="AG74" s="185">
        <v>10228824.76</v>
      </c>
      <c r="AH74" s="185"/>
      <c r="AI74" s="185"/>
      <c r="AJ74" s="185">
        <v>5735843.0599999996</v>
      </c>
      <c r="AK74" s="185"/>
      <c r="AL74" s="185"/>
      <c r="AM74" s="185"/>
      <c r="AN74" s="185"/>
      <c r="AO74" s="185"/>
      <c r="AP74" s="185"/>
      <c r="AQ74" s="185"/>
      <c r="AR74" s="185">
        <v>525605.06000000006</v>
      </c>
      <c r="AS74" s="185"/>
      <c r="AT74" s="185"/>
      <c r="AU74" s="185"/>
      <c r="AV74" s="185">
        <v>82455.5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41377004.74000001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2644333.87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677430</v>
      </c>
      <c r="N75" s="195">
        <f t="shared" si="9"/>
        <v>549689</v>
      </c>
      <c r="O75" s="195">
        <f t="shared" si="9"/>
        <v>0</v>
      </c>
      <c r="P75" s="195">
        <f t="shared" si="9"/>
        <v>2876484.3</v>
      </c>
      <c r="Q75" s="195">
        <f t="shared" si="9"/>
        <v>0</v>
      </c>
      <c r="R75" s="195">
        <f t="shared" si="9"/>
        <v>277048</v>
      </c>
      <c r="S75" s="195">
        <f t="shared" si="9"/>
        <v>0</v>
      </c>
      <c r="T75" s="195">
        <f t="shared" si="9"/>
        <v>0</v>
      </c>
      <c r="U75" s="195">
        <f t="shared" si="9"/>
        <v>5348958.4000000004</v>
      </c>
      <c r="V75" s="195">
        <f t="shared" si="9"/>
        <v>0</v>
      </c>
      <c r="W75" s="195">
        <f t="shared" si="9"/>
        <v>1550453</v>
      </c>
      <c r="X75" s="195">
        <f t="shared" si="9"/>
        <v>5016863</v>
      </c>
      <c r="Y75" s="195">
        <f t="shared" si="9"/>
        <v>4944665.82</v>
      </c>
      <c r="Z75" s="195">
        <f t="shared" si="9"/>
        <v>0</v>
      </c>
      <c r="AA75" s="195">
        <f t="shared" si="9"/>
        <v>0</v>
      </c>
      <c r="AB75" s="195">
        <f t="shared" si="9"/>
        <v>1902186.15</v>
      </c>
      <c r="AC75" s="195">
        <f t="shared" si="9"/>
        <v>227652.92</v>
      </c>
      <c r="AD75" s="195">
        <f t="shared" si="9"/>
        <v>0</v>
      </c>
      <c r="AE75" s="195">
        <f t="shared" si="9"/>
        <v>2114476.3899999997</v>
      </c>
      <c r="AF75" s="195">
        <f t="shared" si="9"/>
        <v>0</v>
      </c>
      <c r="AG75" s="195">
        <f t="shared" si="9"/>
        <v>10320216.76</v>
      </c>
      <c r="AH75" s="195">
        <f t="shared" si="9"/>
        <v>0</v>
      </c>
      <c r="AI75" s="195">
        <f t="shared" si="9"/>
        <v>0</v>
      </c>
      <c r="AJ75" s="195">
        <f t="shared" si="9"/>
        <v>5735843.0599999996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525605.06000000006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82455.5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44794361.230000004</v>
      </c>
      <c r="CF75" s="252"/>
    </row>
    <row r="76" spans="1:84" ht="12.6" customHeight="1" x14ac:dyDescent="0.25">
      <c r="A76" s="171" t="s">
        <v>248</v>
      </c>
      <c r="B76" s="175"/>
      <c r="C76" s="184"/>
      <c r="D76" s="184"/>
      <c r="E76" s="185">
        <v>5592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/>
      <c r="P76" s="185">
        <v>5691</v>
      </c>
      <c r="Q76" s="185"/>
      <c r="R76" s="185"/>
      <c r="S76" s="185"/>
      <c r="T76" s="185"/>
      <c r="U76" s="185">
        <v>1784</v>
      </c>
      <c r="V76" s="185"/>
      <c r="W76" s="185"/>
      <c r="X76" s="185">
        <v>621</v>
      </c>
      <c r="Y76" s="185">
        <v>2257</v>
      </c>
      <c r="Z76" s="185"/>
      <c r="AA76" s="185"/>
      <c r="AB76" s="185">
        <v>239</v>
      </c>
      <c r="AC76" s="185">
        <v>342</v>
      </c>
      <c r="AD76" s="185"/>
      <c r="AE76" s="185">
        <v>4611</v>
      </c>
      <c r="AF76" s="185"/>
      <c r="AG76" s="185">
        <v>2054</v>
      </c>
      <c r="AH76" s="185"/>
      <c r="AI76" s="185"/>
      <c r="AJ76" s="185">
        <v>12898</v>
      </c>
      <c r="AK76" s="185"/>
      <c r="AL76" s="185"/>
      <c r="AM76" s="185"/>
      <c r="AN76" s="185"/>
      <c r="AO76" s="185"/>
      <c r="AP76" s="185"/>
      <c r="AQ76" s="185"/>
      <c r="AR76" s="185">
        <v>987</v>
      </c>
      <c r="AS76" s="185"/>
      <c r="AT76" s="185"/>
      <c r="AU76" s="185"/>
      <c r="AV76" s="185"/>
      <c r="AW76" s="185"/>
      <c r="AX76" s="185"/>
      <c r="AY76" s="185">
        <v>1202</v>
      </c>
      <c r="AZ76" s="185">
        <v>1067</v>
      </c>
      <c r="BA76" s="185"/>
      <c r="BB76" s="185"/>
      <c r="BC76" s="185"/>
      <c r="BD76" s="185">
        <v>883</v>
      </c>
      <c r="BE76" s="185">
        <v>33563</v>
      </c>
      <c r="BF76" s="185">
        <v>1332</v>
      </c>
      <c r="BG76" s="185"/>
      <c r="BH76" s="185">
        <v>1571</v>
      </c>
      <c r="BI76" s="185"/>
      <c r="BJ76" s="185">
        <v>700</v>
      </c>
      <c r="BK76" s="185">
        <v>1730</v>
      </c>
      <c r="BL76" s="185">
        <v>410</v>
      </c>
      <c r="BM76" s="185"/>
      <c r="BN76" s="185">
        <v>4373</v>
      </c>
      <c r="BO76" s="185"/>
      <c r="BP76" s="185"/>
      <c r="BQ76" s="185"/>
      <c r="BR76" s="185"/>
      <c r="BS76" s="185"/>
      <c r="BT76" s="185"/>
      <c r="BU76" s="185"/>
      <c r="BV76" s="185">
        <v>1031</v>
      </c>
      <c r="BW76" s="185"/>
      <c r="BX76" s="185"/>
      <c r="BY76" s="185">
        <v>112</v>
      </c>
      <c r="BZ76" s="185"/>
      <c r="CA76" s="185"/>
      <c r="CB76" s="185"/>
      <c r="CC76" s="185">
        <v>575</v>
      </c>
      <c r="CD76" s="249" t="s">
        <v>221</v>
      </c>
      <c r="CE76" s="195">
        <f t="shared" si="8"/>
        <v>85625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4752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4752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0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0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v>10.33</v>
      </c>
      <c r="F80" s="187"/>
      <c r="G80" s="187"/>
      <c r="H80" s="187"/>
      <c r="I80" s="187"/>
      <c r="J80" s="187"/>
      <c r="K80" s="187"/>
      <c r="L80" s="187"/>
      <c r="M80" s="187">
        <v>0.84</v>
      </c>
      <c r="N80" s="187"/>
      <c r="O80" s="187"/>
      <c r="P80" s="187">
        <v>2.7</v>
      </c>
      <c r="Q80" s="187"/>
      <c r="R80" s="187">
        <v>0.64</v>
      </c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7.28</v>
      </c>
      <c r="AH80" s="187"/>
      <c r="AI80" s="187"/>
      <c r="AJ80" s="187">
        <v>1.55</v>
      </c>
      <c r="AK80" s="187"/>
      <c r="AL80" s="187"/>
      <c r="AM80" s="187"/>
      <c r="AN80" s="187"/>
      <c r="AO80" s="187"/>
      <c r="AP80" s="187"/>
      <c r="AQ80" s="187"/>
      <c r="AR80" s="187">
        <v>0.56999999999999995</v>
      </c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23.910000000000004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1266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1269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1270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1271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1272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1273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1274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1275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1280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/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1278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1279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170</v>
      </c>
      <c r="D111" s="174">
        <v>515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61</v>
      </c>
      <c r="D112" s="174">
        <v>808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10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>
        <v>7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17</v>
      </c>
    </row>
    <row r="128" spans="1:5" ht="12.6" customHeight="1" x14ac:dyDescent="0.25">
      <c r="A128" s="173" t="s">
        <v>292</v>
      </c>
      <c r="B128" s="172" t="s">
        <v>256</v>
      </c>
      <c r="C128" s="189">
        <v>25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331188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f>122+4</f>
        <v>126</v>
      </c>
      <c r="C138" s="189">
        <f>21+2+1</f>
        <v>24</v>
      </c>
      <c r="D138" s="174">
        <v>20</v>
      </c>
      <c r="E138" s="175">
        <f>SUM(B138:D138)</f>
        <v>170</v>
      </c>
    </row>
    <row r="139" spans="1:6" ht="12.6" customHeight="1" x14ac:dyDescent="0.25">
      <c r="A139" s="173" t="s">
        <v>215</v>
      </c>
      <c r="B139" s="174">
        <f>344+18+6</f>
        <v>368</v>
      </c>
      <c r="C139" s="189">
        <f>70+6+3</f>
        <v>79</v>
      </c>
      <c r="D139" s="174">
        <v>68</v>
      </c>
      <c r="E139" s="175">
        <f>SUM(B139:D139)</f>
        <v>515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2168539</v>
      </c>
      <c r="C141" s="189">
        <v>569474.9</v>
      </c>
      <c r="D141" s="174">
        <v>500309.44</v>
      </c>
      <c r="E141" s="175">
        <f>SUM(B141:D141)</f>
        <v>3238323.34</v>
      </c>
      <c r="F141" s="199"/>
    </row>
    <row r="142" spans="1:6" ht="12.6" customHeight="1" x14ac:dyDescent="0.25">
      <c r="A142" s="173" t="s">
        <v>246</v>
      </c>
      <c r="B142" s="174">
        <v>19310146</v>
      </c>
      <c r="C142" s="189">
        <v>11188381</v>
      </c>
      <c r="D142" s="174">
        <v>10335136</v>
      </c>
      <c r="E142" s="175">
        <f>SUM(B142:D142)</f>
        <v>40833663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f>44+8</f>
        <v>52</v>
      </c>
      <c r="C144" s="189">
        <v>6</v>
      </c>
      <c r="D144" s="174">
        <v>3</v>
      </c>
      <c r="E144" s="175">
        <f>SUM(B144:D144)</f>
        <v>61</v>
      </c>
    </row>
    <row r="145" spans="1:5" ht="12.6" customHeight="1" x14ac:dyDescent="0.25">
      <c r="A145" s="173" t="s">
        <v>215</v>
      </c>
      <c r="B145" s="174">
        <v>646</v>
      </c>
      <c r="C145" s="189">
        <v>76</v>
      </c>
      <c r="D145" s="174">
        <v>86</v>
      </c>
      <c r="E145" s="175">
        <f>SUM(B145:D145)</f>
        <v>808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929961.78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-3174.29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91819.32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1848964.35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14154.07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309389.89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34607.32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3225722.44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3517.11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431893.48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435410.58999999997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110561.5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61746.77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172308.27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28805.24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/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>
        <v>665721.22</v>
      </c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694526.46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242153.56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242153.56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203706.33</v>
      </c>
      <c r="C195" s="189">
        <v>0</v>
      </c>
      <c r="D195" s="174">
        <v>0</v>
      </c>
      <c r="E195" s="175">
        <f t="shared" ref="E195:E203" si="10">SUM(B195:C195)-D195</f>
        <v>203706.33</v>
      </c>
    </row>
    <row r="196" spans="1:8" ht="12.6" customHeight="1" x14ac:dyDescent="0.25">
      <c r="A196" s="173" t="s">
        <v>333</v>
      </c>
      <c r="B196" s="174">
        <v>1735411.47</v>
      </c>
      <c r="C196" s="189">
        <f>19688+27596.25</f>
        <v>47284.25</v>
      </c>
      <c r="D196" s="174">
        <v>0</v>
      </c>
      <c r="E196" s="175">
        <f t="shared" si="10"/>
        <v>1782695.72</v>
      </c>
    </row>
    <row r="197" spans="1:8" ht="12.6" customHeight="1" x14ac:dyDescent="0.25">
      <c r="A197" s="173" t="s">
        <v>334</v>
      </c>
      <c r="B197" s="174">
        <v>13441796.470000001</v>
      </c>
      <c r="C197" s="189">
        <f>82237.4+1000+134296.98</f>
        <v>217534.38</v>
      </c>
      <c r="D197" s="174">
        <v>0</v>
      </c>
      <c r="E197" s="175">
        <f t="shared" si="10"/>
        <v>13659330.850000001</v>
      </c>
    </row>
    <row r="198" spans="1:8" ht="12.6" customHeight="1" x14ac:dyDescent="0.25">
      <c r="A198" s="173" t="s">
        <v>335</v>
      </c>
      <c r="B198" s="174">
        <v>6685658.3399999999</v>
      </c>
      <c r="C198" s="189">
        <f>35000+103439.29</f>
        <v>138439.28999999998</v>
      </c>
      <c r="D198" s="174">
        <v>0</v>
      </c>
      <c r="E198" s="175">
        <f t="shared" si="10"/>
        <v>6824097.6299999999</v>
      </c>
    </row>
    <row r="199" spans="1:8" ht="12.6" customHeight="1" x14ac:dyDescent="0.25">
      <c r="A199" s="173" t="s">
        <v>336</v>
      </c>
      <c r="B199" s="174">
        <v>230742.95</v>
      </c>
      <c r="C199" s="189">
        <v>106405.02</v>
      </c>
      <c r="D199" s="174">
        <v>0</v>
      </c>
      <c r="E199" s="175">
        <f t="shared" si="10"/>
        <v>337147.97000000003</v>
      </c>
    </row>
    <row r="200" spans="1:8" ht="12.6" customHeight="1" x14ac:dyDescent="0.25">
      <c r="A200" s="173" t="s">
        <v>337</v>
      </c>
      <c r="B200" s="174">
        <v>6767507.3399999999</v>
      </c>
      <c r="C200" s="189">
        <v>371738.98</v>
      </c>
      <c r="D200" s="174">
        <v>0</v>
      </c>
      <c r="E200" s="175">
        <f t="shared" si="10"/>
        <v>7139246.3200000003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176694</v>
      </c>
      <c r="C203" s="189">
        <v>534303</v>
      </c>
      <c r="D203" s="174">
        <v>499488</v>
      </c>
      <c r="E203" s="175">
        <f t="shared" si="10"/>
        <v>211509</v>
      </c>
    </row>
    <row r="204" spans="1:8" ht="12.6" customHeight="1" x14ac:dyDescent="0.25">
      <c r="A204" s="173" t="s">
        <v>203</v>
      </c>
      <c r="B204" s="175">
        <f>SUM(B195:B203)</f>
        <v>29241516.899999999</v>
      </c>
      <c r="C204" s="191">
        <f>SUM(C195:C203)</f>
        <v>1415704.92</v>
      </c>
      <c r="D204" s="175">
        <f>SUM(D195:D203)</f>
        <v>499488</v>
      </c>
      <c r="E204" s="175">
        <f>SUM(E195:E203)</f>
        <v>30157733.82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1236578.29</v>
      </c>
      <c r="C209" s="189">
        <v>102918.52</v>
      </c>
      <c r="D209" s="174"/>
      <c r="E209" s="175">
        <f t="shared" ref="E209:E216" si="11">SUM(B209:C209)-D209</f>
        <v>1339496.81</v>
      </c>
      <c r="H209" s="259"/>
    </row>
    <row r="210" spans="1:8" ht="12.6" customHeight="1" x14ac:dyDescent="0.25">
      <c r="A210" s="173" t="s">
        <v>334</v>
      </c>
      <c r="B210" s="174">
        <v>7354969.2800000003</v>
      </c>
      <c r="C210" s="189">
        <v>376151.34</v>
      </c>
      <c r="D210" s="174"/>
      <c r="E210" s="175">
        <f t="shared" si="11"/>
        <v>7731120.6200000001</v>
      </c>
      <c r="H210" s="259"/>
    </row>
    <row r="211" spans="1:8" ht="12.6" customHeight="1" x14ac:dyDescent="0.25">
      <c r="A211" s="173" t="s">
        <v>335</v>
      </c>
      <c r="B211" s="174">
        <v>3964653.14</v>
      </c>
      <c r="C211" s="189">
        <v>398600.47</v>
      </c>
      <c r="D211" s="174"/>
      <c r="E211" s="175">
        <f t="shared" si="11"/>
        <v>4363253.6100000003</v>
      </c>
      <c r="H211" s="259"/>
    </row>
    <row r="212" spans="1:8" ht="12.6" customHeight="1" x14ac:dyDescent="0.25">
      <c r="A212" s="173" t="s">
        <v>336</v>
      </c>
      <c r="B212" s="174">
        <v>222486.39</v>
      </c>
      <c r="C212" s="189">
        <v>3430.93</v>
      </c>
      <c r="D212" s="174"/>
      <c r="E212" s="175">
        <f t="shared" si="11"/>
        <v>225917.32</v>
      </c>
      <c r="H212" s="259"/>
    </row>
    <row r="213" spans="1:8" ht="12.6" customHeight="1" x14ac:dyDescent="0.25">
      <c r="A213" s="173" t="s">
        <v>337</v>
      </c>
      <c r="B213" s="174">
        <v>5758824.6299999999</v>
      </c>
      <c r="C213" s="189">
        <v>365699.35</v>
      </c>
      <c r="D213" s="174"/>
      <c r="E213" s="175">
        <f t="shared" si="11"/>
        <v>6124523.9799999995</v>
      </c>
      <c r="H213" s="259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18537511.73</v>
      </c>
      <c r="C217" s="191">
        <f>SUM(C208:C216)</f>
        <v>1246800.6100000001</v>
      </c>
      <c r="D217" s="175">
        <f>SUM(D208:D216)</f>
        <v>0</v>
      </c>
      <c r="E217" s="175">
        <f>SUM(E208:E216)</f>
        <v>19784312.34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7" t="s">
        <v>1255</v>
      </c>
      <c r="C220" s="287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1487621.8</v>
      </c>
      <c r="D221" s="172">
        <f>C221</f>
        <v>1487621.8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8656586.3800000008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6788944.3700000001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99215.75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2427690.98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17972437.48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/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583768.39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583768.39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100588.72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-24.8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100563.92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20144391.590000004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2292544.06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8217652.0300000003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4244315.7300000004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111411.92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f>206543.25+722051.79</f>
        <v>928595.04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166944.53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130525.31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7603357.1599999992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327197.09000000003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327197.09000000003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203706.33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1782695.72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13659330.85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6824097.6299999999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337147.97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7139246.3200000003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211509.94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30157734.760000002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19784312.309999999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10373422.450000003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18303976.700000003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>
        <v>206543.25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865313.73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f>266221.56+53122+848499.32</f>
        <v>1167842.8799999999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16878.47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472000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82962.39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559792.68999999994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961783.09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4333116.5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5449096.0199999996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57057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5506153.0199999996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961783.09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4544369.93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8189027.4100000001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1237462.8600000001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18303976.699999999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18303976.700000003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f>3086238.49+331118</f>
        <v>3417356.49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f>34090460+6083509+1203035.06</f>
        <v>41377004.060000002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44794360.550000004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1487621.8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18073001.399999999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583768.39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20144391.59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24649968.960000005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/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0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24649968.960000005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13136786.27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3225722.44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f>2589066.88+517331.38</f>
        <v>3106398.26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1720315.01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309685.61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2060619.33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f>1246800.61-8862.12</f>
        <v>1237938.49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435410.59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172308.27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28805.24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242153.56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694526.22+58885.85-28805.24</f>
        <v>724606.83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26400749.899999995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-1750780.9399999902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f>530+46260.36+886916.44-12259.52+603351.37+1463444.47</f>
        <v>2988243.12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1237462.1800000099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1237462.1800000099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Klickitat County Public Hospital District #1   H-0     FYE 12/31/2019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170</v>
      </c>
      <c r="C414" s="194">
        <f>E138</f>
        <v>170</v>
      </c>
      <c r="D414" s="179"/>
    </row>
    <row r="415" spans="1:5" ht="12.6" customHeight="1" x14ac:dyDescent="0.25">
      <c r="A415" s="179" t="s">
        <v>464</v>
      </c>
      <c r="B415" s="179">
        <f>D111</f>
        <v>515</v>
      </c>
      <c r="C415" s="179">
        <f>E139</f>
        <v>515</v>
      </c>
      <c r="D415" s="194">
        <f>SUM(C59:H59)+N59</f>
        <v>0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61</v>
      </c>
      <c r="C417" s="194">
        <f>E144</f>
        <v>61</v>
      </c>
      <c r="D417" s="179"/>
    </row>
    <row r="418" spans="1:7" ht="12.6" customHeight="1" x14ac:dyDescent="0.25">
      <c r="A418" s="179" t="s">
        <v>466</v>
      </c>
      <c r="B418" s="179">
        <f>D112</f>
        <v>808</v>
      </c>
      <c r="C418" s="179">
        <f>E145</f>
        <v>808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13136786.27</v>
      </c>
      <c r="C427" s="179">
        <f t="shared" ref="C427:C434" si="13">CE61</f>
        <v>13136786.169999998</v>
      </c>
      <c r="D427" s="179"/>
    </row>
    <row r="428" spans="1:7" ht="12.6" customHeight="1" x14ac:dyDescent="0.25">
      <c r="A428" s="179" t="s">
        <v>3</v>
      </c>
      <c r="B428" s="179">
        <f>C379</f>
        <v>3225722.44</v>
      </c>
      <c r="C428" s="179">
        <f>CE62</f>
        <v>3225722</v>
      </c>
      <c r="D428" s="179">
        <f>D173</f>
        <v>3225722.44</v>
      </c>
    </row>
    <row r="429" spans="1:7" ht="12.6" customHeight="1" x14ac:dyDescent="0.25">
      <c r="A429" s="179" t="s">
        <v>236</v>
      </c>
      <c r="B429" s="179">
        <f t="shared" si="12"/>
        <v>3106398.26</v>
      </c>
      <c r="C429" s="179">
        <f t="shared" si="13"/>
        <v>3106398.2900000005</v>
      </c>
      <c r="D429" s="179"/>
    </row>
    <row r="430" spans="1:7" ht="12.6" customHeight="1" x14ac:dyDescent="0.25">
      <c r="A430" s="179" t="s">
        <v>237</v>
      </c>
      <c r="B430" s="179">
        <f t="shared" si="12"/>
        <v>1720315.01</v>
      </c>
      <c r="C430" s="179">
        <f t="shared" si="13"/>
        <v>1720315.0099999993</v>
      </c>
      <c r="D430" s="179"/>
    </row>
    <row r="431" spans="1:7" ht="12.6" customHeight="1" x14ac:dyDescent="0.25">
      <c r="A431" s="179" t="s">
        <v>444</v>
      </c>
      <c r="B431" s="179">
        <f t="shared" si="12"/>
        <v>309685.61</v>
      </c>
      <c r="C431" s="179">
        <f t="shared" si="13"/>
        <v>309685.92199999996</v>
      </c>
      <c r="D431" s="179"/>
    </row>
    <row r="432" spans="1:7" ht="12.6" customHeight="1" x14ac:dyDescent="0.25">
      <c r="A432" s="179" t="s">
        <v>445</v>
      </c>
      <c r="B432" s="179">
        <f t="shared" si="12"/>
        <v>2060619.33</v>
      </c>
      <c r="C432" s="179">
        <f t="shared" si="13"/>
        <v>2060619.3299999998</v>
      </c>
      <c r="D432" s="179"/>
    </row>
    <row r="433" spans="1:7" ht="12.6" customHeight="1" x14ac:dyDescent="0.25">
      <c r="A433" s="179" t="s">
        <v>6</v>
      </c>
      <c r="B433" s="179">
        <f t="shared" si="12"/>
        <v>1237938.49</v>
      </c>
      <c r="C433" s="179">
        <f t="shared" si="13"/>
        <v>1237939</v>
      </c>
      <c r="D433" s="179">
        <f>C217</f>
        <v>1246800.6100000001</v>
      </c>
    </row>
    <row r="434" spans="1:7" ht="12.6" customHeight="1" x14ac:dyDescent="0.25">
      <c r="A434" s="179" t="s">
        <v>474</v>
      </c>
      <c r="B434" s="179">
        <f t="shared" si="12"/>
        <v>435410.59</v>
      </c>
      <c r="C434" s="179">
        <f t="shared" si="13"/>
        <v>435410.58999999991</v>
      </c>
      <c r="D434" s="179">
        <f>D177</f>
        <v>435410.58999999997</v>
      </c>
    </row>
    <row r="435" spans="1:7" ht="12.6" customHeight="1" x14ac:dyDescent="0.25">
      <c r="A435" s="179" t="s">
        <v>447</v>
      </c>
      <c r="B435" s="179">
        <f t="shared" si="12"/>
        <v>172308.27</v>
      </c>
      <c r="C435" s="179"/>
      <c r="D435" s="179">
        <f>D181</f>
        <v>172308.27</v>
      </c>
    </row>
    <row r="436" spans="1:7" ht="12.6" customHeight="1" x14ac:dyDescent="0.25">
      <c r="A436" s="179" t="s">
        <v>475</v>
      </c>
      <c r="B436" s="179">
        <f t="shared" si="12"/>
        <v>28805.24</v>
      </c>
      <c r="C436" s="179"/>
      <c r="D436" s="179">
        <f>D186</f>
        <v>694526.46</v>
      </c>
    </row>
    <row r="437" spans="1:7" ht="12.6" customHeight="1" x14ac:dyDescent="0.25">
      <c r="A437" s="194" t="s">
        <v>449</v>
      </c>
      <c r="B437" s="194">
        <f t="shared" si="12"/>
        <v>242153.56</v>
      </c>
      <c r="C437" s="194"/>
      <c r="D437" s="194">
        <f>D190</f>
        <v>242153.56</v>
      </c>
    </row>
    <row r="438" spans="1:7" ht="12.6" customHeight="1" x14ac:dyDescent="0.25">
      <c r="A438" s="194" t="s">
        <v>476</v>
      </c>
      <c r="B438" s="194">
        <f>C386+C387+C388</f>
        <v>443267.06999999995</v>
      </c>
      <c r="C438" s="194">
        <f>CD69</f>
        <v>0</v>
      </c>
      <c r="D438" s="194">
        <f>D181+D186+D190</f>
        <v>1108988.29</v>
      </c>
    </row>
    <row r="439" spans="1:7" ht="12.6" customHeight="1" x14ac:dyDescent="0.25">
      <c r="A439" s="179" t="s">
        <v>451</v>
      </c>
      <c r="B439" s="194">
        <f>C389</f>
        <v>724606.83</v>
      </c>
      <c r="C439" s="194">
        <f>SUM(C69:CC69)</f>
        <v>1167873.1100000001</v>
      </c>
      <c r="D439" s="179"/>
    </row>
    <row r="440" spans="1:7" ht="12.6" customHeight="1" x14ac:dyDescent="0.25">
      <c r="A440" s="179" t="s">
        <v>477</v>
      </c>
      <c r="B440" s="194">
        <f>B438+B439</f>
        <v>1167873.8999999999</v>
      </c>
      <c r="C440" s="194">
        <f>CE69</f>
        <v>1167873.1100000001</v>
      </c>
      <c r="D440" s="179"/>
    </row>
    <row r="441" spans="1:7" ht="12.6" customHeight="1" x14ac:dyDescent="0.25">
      <c r="A441" s="179" t="s">
        <v>478</v>
      </c>
      <c r="B441" s="179">
        <f>D390</f>
        <v>26400749.899999995</v>
      </c>
      <c r="C441" s="179">
        <f>SUM(C427:C437)+C440</f>
        <v>26400749.421999991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1487621.8</v>
      </c>
      <c r="C444" s="179">
        <f>C363</f>
        <v>1487621.8</v>
      </c>
      <c r="D444" s="179"/>
    </row>
    <row r="445" spans="1:7" ht="12.6" customHeight="1" x14ac:dyDescent="0.25">
      <c r="A445" s="179" t="s">
        <v>343</v>
      </c>
      <c r="B445" s="179">
        <f>D229</f>
        <v>17972437.48</v>
      </c>
      <c r="C445" s="179">
        <f>C364</f>
        <v>18073001.399999999</v>
      </c>
      <c r="D445" s="179"/>
    </row>
    <row r="446" spans="1:7" ht="12.6" customHeight="1" x14ac:dyDescent="0.25">
      <c r="A446" s="179" t="s">
        <v>351</v>
      </c>
      <c r="B446" s="179">
        <f>D236</f>
        <v>583768.39</v>
      </c>
      <c r="C446" s="179">
        <f>C365</f>
        <v>583768.39</v>
      </c>
      <c r="D446" s="179"/>
    </row>
    <row r="447" spans="1:7" ht="12.6" customHeight="1" x14ac:dyDescent="0.25">
      <c r="A447" s="179" t="s">
        <v>356</v>
      </c>
      <c r="B447" s="179">
        <f>D240</f>
        <v>100563.92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20144391.590000004</v>
      </c>
      <c r="C448" s="179">
        <f>D367</f>
        <v>20144391.59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0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583768.39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0</v>
      </c>
      <c r="C458" s="194">
        <f>CE70</f>
        <v>0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3417356.49</v>
      </c>
      <c r="C463" s="194">
        <f>CE73</f>
        <v>3417356.49</v>
      </c>
      <c r="D463" s="194">
        <f>E141+E147+E153</f>
        <v>3238323.34</v>
      </c>
    </row>
    <row r="464" spans="1:7" ht="12.6" customHeight="1" x14ac:dyDescent="0.25">
      <c r="A464" s="179" t="s">
        <v>246</v>
      </c>
      <c r="B464" s="194">
        <f>C360</f>
        <v>41377004.060000002</v>
      </c>
      <c r="C464" s="194">
        <f>CE74</f>
        <v>41377004.74000001</v>
      </c>
      <c r="D464" s="194">
        <f>E142+E148+E154</f>
        <v>40833663</v>
      </c>
    </row>
    <row r="465" spans="1:7" ht="12.6" customHeight="1" x14ac:dyDescent="0.25">
      <c r="A465" s="179" t="s">
        <v>247</v>
      </c>
      <c r="B465" s="194">
        <f>D361</f>
        <v>44794360.550000004</v>
      </c>
      <c r="C465" s="194">
        <f>CE75</f>
        <v>44794361.230000004</v>
      </c>
      <c r="D465" s="194">
        <f>D463+D464</f>
        <v>44071986.340000004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203706.33</v>
      </c>
      <c r="C468" s="179">
        <f>E195</f>
        <v>203706.33</v>
      </c>
      <c r="D468" s="179"/>
    </row>
    <row r="469" spans="1:7" ht="12.6" customHeight="1" x14ac:dyDescent="0.25">
      <c r="A469" s="179" t="s">
        <v>333</v>
      </c>
      <c r="B469" s="179">
        <f t="shared" si="14"/>
        <v>1782695.72</v>
      </c>
      <c r="C469" s="179">
        <f>E196</f>
        <v>1782695.72</v>
      </c>
      <c r="D469" s="179"/>
    </row>
    <row r="470" spans="1:7" ht="12.6" customHeight="1" x14ac:dyDescent="0.25">
      <c r="A470" s="179" t="s">
        <v>334</v>
      </c>
      <c r="B470" s="179">
        <f t="shared" si="14"/>
        <v>13659330.85</v>
      </c>
      <c r="C470" s="179">
        <f>E197</f>
        <v>13659330.850000001</v>
      </c>
      <c r="D470" s="179"/>
    </row>
    <row r="471" spans="1:7" ht="12.6" customHeight="1" x14ac:dyDescent="0.25">
      <c r="A471" s="179" t="s">
        <v>494</v>
      </c>
      <c r="B471" s="179">
        <f t="shared" si="14"/>
        <v>6824097.6299999999</v>
      </c>
      <c r="C471" s="179">
        <f>E198</f>
        <v>6824097.6299999999</v>
      </c>
      <c r="D471" s="179"/>
    </row>
    <row r="472" spans="1:7" ht="12.6" customHeight="1" x14ac:dyDescent="0.25">
      <c r="A472" s="179" t="s">
        <v>377</v>
      </c>
      <c r="B472" s="179">
        <f t="shared" si="14"/>
        <v>337147.97</v>
      </c>
      <c r="C472" s="179">
        <f>E199</f>
        <v>337147.97000000003</v>
      </c>
      <c r="D472" s="179"/>
    </row>
    <row r="473" spans="1:7" ht="12.6" customHeight="1" x14ac:dyDescent="0.25">
      <c r="A473" s="179" t="s">
        <v>495</v>
      </c>
      <c r="B473" s="179">
        <f t="shared" si="14"/>
        <v>7139246.3200000003</v>
      </c>
      <c r="C473" s="179">
        <f>SUM(E200:E201)</f>
        <v>7139246.3200000003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211509.94</v>
      </c>
      <c r="C475" s="179">
        <f>E203</f>
        <v>211509</v>
      </c>
      <c r="D475" s="179"/>
    </row>
    <row r="476" spans="1:7" ht="12.6" customHeight="1" x14ac:dyDescent="0.25">
      <c r="A476" s="179" t="s">
        <v>203</v>
      </c>
      <c r="B476" s="179">
        <f>D275</f>
        <v>30157734.760000002</v>
      </c>
      <c r="C476" s="179">
        <f>E204</f>
        <v>30157733.82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19784312.309999999</v>
      </c>
      <c r="C478" s="179">
        <f>E217</f>
        <v>19784312.34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18303976.700000003</v>
      </c>
    </row>
    <row r="482" spans="1:12" ht="12.6" customHeight="1" x14ac:dyDescent="0.25">
      <c r="A482" s="180" t="s">
        <v>499</v>
      </c>
      <c r="C482" s="180">
        <f>D339</f>
        <v>18303976.699999999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008</v>
      </c>
      <c r="B493" s="261" t="str">
        <f>RIGHT('Prior Year'!C82,4)</f>
        <v>2018</v>
      </c>
      <c r="C493" s="261" t="str">
        <f>RIGHT(C82,4)</f>
        <v>2019</v>
      </c>
      <c r="D493" s="261" t="str">
        <f>RIGHT('Prior Year'!C82,4)</f>
        <v>2018</v>
      </c>
      <c r="E493" s="261" t="str">
        <f>RIGHT(C82,4)</f>
        <v>2019</v>
      </c>
      <c r="F493" s="261" t="str">
        <f>RIGHT('Prior Year'!C82,4)</f>
        <v>2018</v>
      </c>
      <c r="G493" s="261" t="str">
        <f>RIGHT(C82,4)</f>
        <v>2019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0</v>
      </c>
      <c r="C496" s="240">
        <f>C71</f>
        <v>0</v>
      </c>
      <c r="D496" s="240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3165876.1799999997</v>
      </c>
      <c r="C498" s="240">
        <f>E71</f>
        <v>2870973</v>
      </c>
      <c r="D498" s="240">
        <f>'Prior Year'!E59</f>
        <v>397</v>
      </c>
      <c r="E498" s="180">
        <f>E59</f>
        <v>0</v>
      </c>
      <c r="F498" s="263">
        <f t="shared" si="15"/>
        <v>7974.4991939546589</v>
      </c>
      <c r="G498" s="263" t="str">
        <f t="shared" si="15"/>
        <v/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444706.59</v>
      </c>
      <c r="C506" s="240">
        <f>M71</f>
        <v>397165.72200000007</v>
      </c>
      <c r="D506" s="240">
        <f>'Prior Year'!M59</f>
        <v>850</v>
      </c>
      <c r="E506" s="180">
        <f>M59</f>
        <v>0</v>
      </c>
      <c r="F506" s="263">
        <f t="shared" si="15"/>
        <v>523.18422352941184</v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190231.18</v>
      </c>
      <c r="C507" s="240">
        <f>N71</f>
        <v>295126.48</v>
      </c>
      <c r="D507" s="240">
        <f>'Prior Year'!N59</f>
        <v>898</v>
      </c>
      <c r="E507" s="180">
        <f>N59</f>
        <v>0</v>
      </c>
      <c r="F507" s="263">
        <f t="shared" si="15"/>
        <v>211.83873051224944</v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1856864.65</v>
      </c>
      <c r="C509" s="240">
        <f>P71</f>
        <v>1583058.94</v>
      </c>
      <c r="D509" s="240">
        <f>'Prior Year'!P59</f>
        <v>2609</v>
      </c>
      <c r="E509" s="180">
        <f>P59</f>
        <v>0</v>
      </c>
      <c r="F509" s="263">
        <f t="shared" si="15"/>
        <v>711.71508240705248</v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0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330323.83000000007</v>
      </c>
      <c r="C511" s="240">
        <f>R71</f>
        <v>373615.72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0</v>
      </c>
      <c r="C512" s="240">
        <f>S71</f>
        <v>0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1446825.3</v>
      </c>
      <c r="C514" s="240">
        <f>U71</f>
        <v>1302113.7300000002</v>
      </c>
      <c r="D514" s="240">
        <f>'Prior Year'!U59</f>
        <v>55930</v>
      </c>
      <c r="E514" s="180">
        <f>U59</f>
        <v>0</v>
      </c>
      <c r="F514" s="263">
        <f t="shared" si="17"/>
        <v>25.868501698551761</v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0</v>
      </c>
      <c r="C515" s="240">
        <f>V71</f>
        <v>0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296925.83</v>
      </c>
      <c r="C516" s="240">
        <f>W71</f>
        <v>302186.56</v>
      </c>
      <c r="D516" s="240">
        <f>'Prior Year'!W59</f>
        <v>464</v>
      </c>
      <c r="E516" s="180">
        <f>W59</f>
        <v>0</v>
      </c>
      <c r="F516" s="263">
        <f t="shared" si="17"/>
        <v>639.92635775862072</v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272720.7</v>
      </c>
      <c r="C517" s="240">
        <f>X71</f>
        <v>370106.49</v>
      </c>
      <c r="D517" s="240">
        <f>'Prior Year'!X59</f>
        <v>1524</v>
      </c>
      <c r="E517" s="180">
        <f>X59</f>
        <v>0</v>
      </c>
      <c r="F517" s="263">
        <f t="shared" si="17"/>
        <v>178.95059055118111</v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1164612.3700000001</v>
      </c>
      <c r="C518" s="240">
        <f>Y71</f>
        <v>1216779.8999999999</v>
      </c>
      <c r="D518" s="240">
        <f>'Prior Year'!Y59</f>
        <v>6564</v>
      </c>
      <c r="E518" s="180">
        <f>Y59</f>
        <v>0</v>
      </c>
      <c r="F518" s="263">
        <f t="shared" si="17"/>
        <v>177.42418799512495</v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340013.29999999993</v>
      </c>
      <c r="C521" s="240">
        <f>AB71</f>
        <v>561211.72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82223.47</v>
      </c>
      <c r="C522" s="240">
        <f>AC71</f>
        <v>63584.81</v>
      </c>
      <c r="D522" s="240">
        <f>'Prior Year'!AC59</f>
        <v>581</v>
      </c>
      <c r="E522" s="180">
        <f>AC59</f>
        <v>0</v>
      </c>
      <c r="F522" s="263">
        <f t="shared" si="17"/>
        <v>141.52060240963857</v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615792.84000000008</v>
      </c>
      <c r="C524" s="240">
        <f>AE71</f>
        <v>923406.32</v>
      </c>
      <c r="D524" s="240">
        <f>'Prior Year'!AE59</f>
        <v>11209</v>
      </c>
      <c r="E524" s="180">
        <f>AE59</f>
        <v>0</v>
      </c>
      <c r="F524" s="263">
        <f t="shared" si="17"/>
        <v>54.937357480595956</v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2216759.4700000002</v>
      </c>
      <c r="C526" s="240">
        <f>AG71</f>
        <v>2585212.2200000002</v>
      </c>
      <c r="D526" s="240">
        <f>'Prior Year'!AG59</f>
        <v>5441</v>
      </c>
      <c r="E526" s="180">
        <f>AG59</f>
        <v>0</v>
      </c>
      <c r="F526" s="263">
        <f t="shared" si="17"/>
        <v>407.41765668075726</v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3687797.81</v>
      </c>
      <c r="C529" s="240">
        <f>AJ71</f>
        <v>4120269.63</v>
      </c>
      <c r="D529" s="240">
        <f>'Prior Year'!AJ59</f>
        <v>20821</v>
      </c>
      <c r="E529" s="180">
        <f>AJ59</f>
        <v>0</v>
      </c>
      <c r="F529" s="263">
        <f t="shared" si="18"/>
        <v>177.11914941645455</v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1044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396494.71999999991</v>
      </c>
      <c r="C537" s="240">
        <f>AR71</f>
        <v>396737.60000000003</v>
      </c>
      <c r="D537" s="240">
        <f>'Prior Year'!AR59</f>
        <v>1708</v>
      </c>
      <c r="E537" s="180">
        <f>AR59</f>
        <v>0</v>
      </c>
      <c r="F537" s="263">
        <f t="shared" si="18"/>
        <v>232.13976580796248</v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112010.22</v>
      </c>
      <c r="C542" s="240">
        <f>AW71</f>
        <v>114537.46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510501.49000000005</v>
      </c>
      <c r="C544" s="240">
        <f>AY71</f>
        <v>559951.81999999995</v>
      </c>
      <c r="D544" s="240">
        <f>'Prior Year'!AY59</f>
        <v>37547</v>
      </c>
      <c r="E544" s="180">
        <f>AY59</f>
        <v>4752</v>
      </c>
      <c r="F544" s="263">
        <f t="shared" ref="F544:G550" si="19">IF(B544=0,"",IF(D544=0,"",B544/D544))</f>
        <v>13.596332330146218</v>
      </c>
      <c r="G544" s="263">
        <f t="shared" si="19"/>
        <v>117.83497895622895</v>
      </c>
      <c r="H544" s="265">
        <f t="shared" si="16"/>
        <v>7.6666739305100329</v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34048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0</v>
      </c>
      <c r="C546" s="240">
        <f>BA71</f>
        <v>0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15549.59</v>
      </c>
      <c r="C548" s="240">
        <f>BC71</f>
        <v>16512.71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73580.73</v>
      </c>
      <c r="C549" s="240">
        <f>BD71</f>
        <v>75631.849999999991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915808.49</v>
      </c>
      <c r="C550" s="240">
        <f>BE71</f>
        <v>998523.08999999985</v>
      </c>
      <c r="D550" s="240">
        <f>'Prior Year'!BE59</f>
        <v>85625</v>
      </c>
      <c r="E550" s="180">
        <f>BE59</f>
        <v>85625</v>
      </c>
      <c r="F550" s="263">
        <f t="shared" si="19"/>
        <v>10.695573605839416</v>
      </c>
      <c r="G550" s="263">
        <f t="shared" si="19"/>
        <v>11.661583532846713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549918.71999999997</v>
      </c>
      <c r="C551" s="240">
        <f>BF71</f>
        <v>557149.74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898886.87</v>
      </c>
      <c r="C553" s="240">
        <f>BH71</f>
        <v>985304.39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285806.14</v>
      </c>
      <c r="C555" s="240">
        <f>BJ71</f>
        <v>328272.90000000002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863509.39999999991</v>
      </c>
      <c r="C556" s="240">
        <f>BK71</f>
        <v>980434.08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226386.27999999997</v>
      </c>
      <c r="C557" s="240">
        <f>BL71</f>
        <v>250080.06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3275217.6300000008</v>
      </c>
      <c r="C559" s="240">
        <f>BN71</f>
        <v>3345605.6399999997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270377.97000000003</v>
      </c>
      <c r="C567" s="240">
        <f>BV71</f>
        <v>429789.81999999995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332250.62</v>
      </c>
      <c r="C570" s="240">
        <f>BY71</f>
        <v>313227.96000000002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65743.929999999993</v>
      </c>
      <c r="C574" s="240">
        <f>CC71</f>
        <v>84179.06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0</v>
      </c>
      <c r="C575" s="240">
        <f>CD71</f>
        <v>0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52062</v>
      </c>
      <c r="E612" s="180">
        <f>SUM(C624:D647)+SUM(C668:D713)</f>
        <v>22534366.010230958</v>
      </c>
      <c r="F612" s="180">
        <f>CE64-(AX64+BD64+BE64+BG64+BJ64+BN64+BP64+BQ64+CB64+CC64+CD64)</f>
        <v>1622515.6799999992</v>
      </c>
      <c r="G612" s="180">
        <f>CE77-(AX77+AY77+BD77+BE77+BG77+BJ77+BN77+BP77+BQ77+CB77+CC77+CD77)</f>
        <v>4752</v>
      </c>
      <c r="H612" s="197">
        <f>CE60-(AX60+AY60+AZ60+BD60+BE60+BG60+BJ60+BN60+BO60+BP60+BQ60+BR60+CB60+CC60+CD60)</f>
        <v>0</v>
      </c>
      <c r="I612" s="180">
        <f>CE78-(AX78+AY78+AZ78+BD78+BE78+BF78+BG78+BJ78+BN78+BO78+BP78+BQ78+BR78+CB78+CC78+CD78)</f>
        <v>0</v>
      </c>
      <c r="J612" s="180">
        <f>CE79-(AX79+AY79+AZ79+BA79+BD79+BE79+BF79+BG79+BJ79+BN79+BO79+BP79+BQ79+BR79+CB79+CC79+CD79)</f>
        <v>0</v>
      </c>
      <c r="K612" s="180">
        <f>CE75-(AW75+AX75+AY75+AZ75+BA75+BB75+BC75+BD75+BE75+BF75+BG75+BH75+BI75+BJ75+BK75+BL75+BM75+BN75+BO75+BP75+BQ75+BR75+BS75+BT75+BU75+BV75+BW75+BX75+CB75+CC75+CD75)</f>
        <v>44794361.230000004</v>
      </c>
      <c r="L612" s="197">
        <f>CE80-(AW80+AX80+AY80+AZ80+BA80+BB80+BC80+BD80+BE80+BF80+BG80+BH80+BI80+BJ80+BK80+BL80+BM80+BN80+BO80+BP80+BQ80+BR80+BS80+BT80+BU80+BV80+BW80+BX80+BY80+BZ80+CA80+CB80+CC80+CD80)</f>
        <v>23.910000000000004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998523.08999999985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0</v>
      </c>
      <c r="D615" s="266">
        <f>SUM(C614:C615)</f>
        <v>998523.08999999985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328272.90000000002</v>
      </c>
      <c r="D617" s="180">
        <f>(D615/D612)*BJ76</f>
        <v>13425.649475625214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3345605.6399999997</v>
      </c>
      <c r="D619" s="180">
        <f>(D615/D612)*BN76</f>
        <v>83871.950224155793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84179.06</v>
      </c>
      <c r="D620" s="180">
        <f>(D615/D612)*CC76</f>
        <v>11028.212069263569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3866383.4117690441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75631.849999999991</v>
      </c>
      <c r="D624" s="180">
        <f>(D615/D612)*BD76</f>
        <v>16935.497838538664</v>
      </c>
      <c r="E624" s="180">
        <f>(E623/E612)*SUM(C624:D624)</f>
        <v>15882.446304097852</v>
      </c>
      <c r="F624" s="180">
        <f>SUM(C624:E624)</f>
        <v>108449.7941426365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559951.81999999995</v>
      </c>
      <c r="D625" s="180">
        <f>(D615/D612)*AY76</f>
        <v>23053.758099573581</v>
      </c>
      <c r="E625" s="180">
        <f>(E623/E612)*SUM(C625:D625)</f>
        <v>100030.46436316893</v>
      </c>
      <c r="F625" s="180">
        <f>(F624/F612)*AY64</f>
        <v>12071.295911282117</v>
      </c>
      <c r="G625" s="180">
        <f>SUM(C625:F625)</f>
        <v>695107.33837402449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20464.525700703005</v>
      </c>
      <c r="E628" s="180">
        <f>(E623/E612)*SUM(C628:D628)</f>
        <v>3511.246008119153</v>
      </c>
      <c r="F628" s="180">
        <f>(F624/F612)*AZ64</f>
        <v>0</v>
      </c>
      <c r="G628" s="180">
        <f>(G625/G612)*AZ77</f>
        <v>0</v>
      </c>
      <c r="H628" s="180">
        <f>SUM(C626:G628)</f>
        <v>23975.771708822158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557149.74</v>
      </c>
      <c r="D629" s="180">
        <f>(D615/D612)*BF76</f>
        <v>25547.093002189693</v>
      </c>
      <c r="E629" s="180">
        <f>(E623/E612)*SUM(C629:D629)</f>
        <v>99977.490744011055</v>
      </c>
      <c r="F629" s="180">
        <f>(F624/F612)*BF64</f>
        <v>2996.7372972088301</v>
      </c>
      <c r="G629" s="180">
        <f>(G625/G612)*BF77</f>
        <v>0</v>
      </c>
      <c r="H629" s="180" t="e">
        <f>(H628/H612)*BF60</f>
        <v>#DIV/0!</v>
      </c>
      <c r="I629" s="180" t="e">
        <f>SUM(C629:H629)</f>
        <v>#DIV/0!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 t="e">
        <f>(H628/H612)*BA60</f>
        <v>#DIV/0!</v>
      </c>
      <c r="I630" s="180" t="e">
        <f>(I629/I612)*BA78</f>
        <v>#DIV/0!</v>
      </c>
      <c r="J630" s="180" t="e">
        <f>SUM(C630:I630)</f>
        <v>#DIV/0!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114537.46</v>
      </c>
      <c r="D631" s="180">
        <f>(D615/D612)*AW76</f>
        <v>0</v>
      </c>
      <c r="E631" s="180">
        <f>(E623/E612)*SUM(C631:D631)</f>
        <v>19652.016620707302</v>
      </c>
      <c r="F631" s="180">
        <f>(F624/F612)*AW64</f>
        <v>57.476164411091034</v>
      </c>
      <c r="G631" s="180">
        <f>(G625/G612)*AW77</f>
        <v>0</v>
      </c>
      <c r="H631" s="180" t="e">
        <f>(H628/H612)*AW60</f>
        <v>#DIV/0!</v>
      </c>
      <c r="I631" s="180" t="e">
        <f>(I629/I612)*AW78</f>
        <v>#DIV/0!</v>
      </c>
      <c r="J631" s="180" t="e">
        <f>(J630/J612)*AW79</f>
        <v>#DIV/0!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 t="e">
        <f>(H628/H612)*BB60</f>
        <v>#DIV/0!</v>
      </c>
      <c r="I632" s="180" t="e">
        <f>(I629/I612)*BB78</f>
        <v>#DIV/0!</v>
      </c>
      <c r="J632" s="180" t="e">
        <f>(J630/J612)*BB79</f>
        <v>#DIV/0!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16512.71</v>
      </c>
      <c r="D633" s="180">
        <f>(D615/D612)*BC76</f>
        <v>0</v>
      </c>
      <c r="E633" s="180">
        <f>(E623/E612)*SUM(C633:D633)</f>
        <v>2833.2045373882015</v>
      </c>
      <c r="F633" s="180">
        <f>(F624/F612)*BC64</f>
        <v>201.63512749431547</v>
      </c>
      <c r="G633" s="180">
        <f>(G625/G612)*BC77</f>
        <v>0</v>
      </c>
      <c r="H633" s="180" t="e">
        <f>(H628/H612)*BC60</f>
        <v>#DIV/0!</v>
      </c>
      <c r="I633" s="180" t="e">
        <f>(I629/I612)*BC78</f>
        <v>#DIV/0!</v>
      </c>
      <c r="J633" s="180" t="e">
        <f>(J630/J612)*BC79</f>
        <v>#DIV/0!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 t="e">
        <f>(H628/H612)*BI60</f>
        <v>#DIV/0!</v>
      </c>
      <c r="I634" s="180" t="e">
        <f>(I629/I612)*BI78</f>
        <v>#DIV/0!</v>
      </c>
      <c r="J634" s="180" t="e">
        <f>(J630/J612)*BI79</f>
        <v>#DIV/0!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980434.08</v>
      </c>
      <c r="D635" s="180">
        <f>(D615/D612)*BK76</f>
        <v>33180.53370404517</v>
      </c>
      <c r="E635" s="180">
        <f>(E623/E612)*SUM(C635:D635)</f>
        <v>173913.15675678247</v>
      </c>
      <c r="F635" s="180">
        <f>(F624/F612)*BK64</f>
        <v>304.87566014472014</v>
      </c>
      <c r="G635" s="180">
        <f>(G625/G612)*BK77</f>
        <v>0</v>
      </c>
      <c r="H635" s="180" t="e">
        <f>(H628/H612)*BK60</f>
        <v>#DIV/0!</v>
      </c>
      <c r="I635" s="180" t="e">
        <f>(I629/I612)*BK78</f>
        <v>#DIV/0!</v>
      </c>
      <c r="J635" s="180" t="e">
        <f>(J630/J612)*BK79</f>
        <v>#DIV/0!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985304.39</v>
      </c>
      <c r="D636" s="180">
        <f>(D615/D612)*BH76</f>
        <v>30130.993323153158</v>
      </c>
      <c r="E636" s="180">
        <f>(E623/E612)*SUM(C636:D636)</f>
        <v>174225.55930890117</v>
      </c>
      <c r="F636" s="180">
        <f>(F624/F612)*BH64</f>
        <v>3326.8813480896461</v>
      </c>
      <c r="G636" s="180">
        <f>(G625/G612)*BH77</f>
        <v>0</v>
      </c>
      <c r="H636" s="180" t="e">
        <f>(H628/H612)*BH60</f>
        <v>#DIV/0!</v>
      </c>
      <c r="I636" s="180" t="e">
        <f>(I629/I612)*BH78</f>
        <v>#DIV/0!</v>
      </c>
      <c r="J636" s="180" t="e">
        <f>(J630/J612)*BH79</f>
        <v>#DIV/0!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250080.06</v>
      </c>
      <c r="D637" s="180">
        <f>(D615/D612)*BL76</f>
        <v>7863.5946928661961</v>
      </c>
      <c r="E637" s="180">
        <f>(E623/E612)*SUM(C637:D637)</f>
        <v>44257.249892133026</v>
      </c>
      <c r="F637" s="180">
        <f>(F624/F612)*BL64</f>
        <v>643.16222335087537</v>
      </c>
      <c r="G637" s="180">
        <f>(G625/G612)*BL77</f>
        <v>0</v>
      </c>
      <c r="H637" s="180" t="e">
        <f>(H628/H612)*BL60</f>
        <v>#DIV/0!</v>
      </c>
      <c r="I637" s="180" t="e">
        <f>(I629/I612)*BL78</f>
        <v>#DIV/0!</v>
      </c>
      <c r="J637" s="180" t="e">
        <f>(J630/J612)*BL79</f>
        <v>#DIV/0!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 t="e">
        <f>(H628/H612)*BM60</f>
        <v>#DIV/0!</v>
      </c>
      <c r="I638" s="180" t="e">
        <f>(I629/I612)*BM78</f>
        <v>#DIV/0!</v>
      </c>
      <c r="J638" s="180" t="e">
        <f>(J630/J612)*BM79</f>
        <v>#DIV/0!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 t="e">
        <f>(H628/H612)*BS60</f>
        <v>#DIV/0!</v>
      </c>
      <c r="I639" s="180" t="e">
        <f>(I629/I612)*BS78</f>
        <v>#DIV/0!</v>
      </c>
      <c r="J639" s="180" t="e">
        <f>(J630/J612)*BS79</f>
        <v>#DIV/0!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 t="e">
        <f>(H628/H612)*BT60</f>
        <v>#DIV/0!</v>
      </c>
      <c r="I640" s="180" t="e">
        <f>(I629/I612)*BT78</f>
        <v>#DIV/0!</v>
      </c>
      <c r="J640" s="180" t="e">
        <f>(J630/J612)*BT79</f>
        <v>#DIV/0!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 t="e">
        <f>(H628/H612)*BU60</f>
        <v>#DIV/0!</v>
      </c>
      <c r="I641" s="180" t="e">
        <f>(I629/I612)*BU78</f>
        <v>#DIV/0!</v>
      </c>
      <c r="J641" s="180" t="e">
        <f>(J630/J612)*BU79</f>
        <v>#DIV/0!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429789.81999999995</v>
      </c>
      <c r="D642" s="180">
        <f>(D615/D612)*BV76</f>
        <v>19774.063727670851</v>
      </c>
      <c r="E642" s="180">
        <f>(E623/E612)*SUM(C642:D642)</f>
        <v>77134.912150888544</v>
      </c>
      <c r="F642" s="180">
        <f>(F624/F612)*BV64</f>
        <v>107.59920305539043</v>
      </c>
      <c r="G642" s="180">
        <f>(G625/G612)*BV77</f>
        <v>0</v>
      </c>
      <c r="H642" s="180" t="e">
        <f>(H628/H612)*BV60</f>
        <v>#DIV/0!</v>
      </c>
      <c r="I642" s="180" t="e">
        <f>(I629/I612)*BV78</f>
        <v>#DIV/0!</v>
      </c>
      <c r="J642" s="180" t="e">
        <f>(J630/J612)*BV79</f>
        <v>#DIV/0!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 t="e">
        <f>(H628/H612)*BW60</f>
        <v>#DIV/0!</v>
      </c>
      <c r="I643" s="180" t="e">
        <f>(I629/I612)*BW78</f>
        <v>#DIV/0!</v>
      </c>
      <c r="J643" s="180" t="e">
        <f>(J630/J612)*BW79</f>
        <v>#DIV/0!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 t="e">
        <f>(H628/H612)*BX60</f>
        <v>#DIV/0!</v>
      </c>
      <c r="I644" s="180" t="e">
        <f>(I629/I612)*BX78</f>
        <v>#DIV/0!</v>
      </c>
      <c r="J644" s="180" t="e">
        <f>(J630/J612)*BX79</f>
        <v>#DIV/0!</v>
      </c>
      <c r="K644" s="180" t="e">
        <f>SUM(C631:J644)</f>
        <v>#DIV/0!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313227.96000000002</v>
      </c>
      <c r="D645" s="180">
        <f>(D615/D612)*BY76</f>
        <v>2148.103916100034</v>
      </c>
      <c r="E645" s="180">
        <f>(E623/E612)*SUM(C645:D645)</f>
        <v>54111.341825219861</v>
      </c>
      <c r="F645" s="180">
        <f>(F624/F612)*BY64</f>
        <v>113.40096031888933</v>
      </c>
      <c r="G645" s="180">
        <f>(G625/G612)*BY77</f>
        <v>0</v>
      </c>
      <c r="H645" s="180" t="e">
        <f>(H628/H612)*BY60</f>
        <v>#DIV/0!</v>
      </c>
      <c r="I645" s="180" t="e">
        <f>(I629/I612)*BY78</f>
        <v>#DIV/0!</v>
      </c>
      <c r="J645" s="180" t="e">
        <f>(J630/J612)*BY79</f>
        <v>#DIV/0!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 t="e">
        <f>(H628/H612)*BZ60</f>
        <v>#DIV/0!</v>
      </c>
      <c r="I646" s="180" t="e">
        <f>(I629/I612)*BZ78</f>
        <v>#DIV/0!</v>
      </c>
      <c r="J646" s="180" t="e">
        <f>(J630/J612)*BZ79</f>
        <v>#DIV/0!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 t="e">
        <f>(H628/H612)*CA60</f>
        <v>#DIV/0!</v>
      </c>
      <c r="I647" s="180" t="e">
        <f>(I629/I612)*CA78</f>
        <v>#DIV/0!</v>
      </c>
      <c r="J647" s="180" t="e">
        <f>(J630/J612)*CA79</f>
        <v>#DIV/0!</v>
      </c>
      <c r="K647" s="180">
        <v>0</v>
      </c>
      <c r="L647" s="180" t="e">
        <f>SUM(C645:K647)</f>
        <v>#DIV/0!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9039200.5799999982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 t="e">
        <f>(H628/H612)*C60</f>
        <v>#DIV/0!</v>
      </c>
      <c r="I668" s="180" t="e">
        <f>(I629/I612)*C78</f>
        <v>#DIV/0!</v>
      </c>
      <c r="J668" s="180" t="e">
        <f>(J630/J612)*C79</f>
        <v>#DIV/0!</v>
      </c>
      <c r="K668" s="180" t="e">
        <f>(K644/K612)*C75</f>
        <v>#DIV/0!</v>
      </c>
      <c r="L668" s="180" t="e">
        <f>(L647/L612)*C80</f>
        <v>#DIV/0!</v>
      </c>
      <c r="M668" s="180" t="e">
        <f t="shared" ref="M668:M713" si="20">ROUND(SUM(D668:L668),0)</f>
        <v>#DIV/0!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 t="e">
        <f>(H628/H612)*D60</f>
        <v>#DIV/0!</v>
      </c>
      <c r="I669" s="180" t="e">
        <f>(I629/I612)*D78</f>
        <v>#DIV/0!</v>
      </c>
      <c r="J669" s="180" t="e">
        <f>(J630/J612)*D79</f>
        <v>#DIV/0!</v>
      </c>
      <c r="K669" s="180" t="e">
        <f>(K644/K612)*D75</f>
        <v>#DIV/0!</v>
      </c>
      <c r="L669" s="180" t="e">
        <f>(L647/L612)*D80</f>
        <v>#DIV/0!</v>
      </c>
      <c r="M669" s="180" t="e">
        <f t="shared" si="20"/>
        <v>#DIV/0!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2870973</v>
      </c>
      <c r="D670" s="180">
        <f>(D615/D612)*E76</f>
        <v>107251.75981099457</v>
      </c>
      <c r="E670" s="180">
        <f>(E623/E612)*SUM(C670:D670)</f>
        <v>510995.46366758674</v>
      </c>
      <c r="F670" s="180">
        <f>(F624/F612)*E64</f>
        <v>6468.5489479994521</v>
      </c>
      <c r="G670" s="180">
        <f>(G625/G612)*E77</f>
        <v>695107.33837402449</v>
      </c>
      <c r="H670" s="180" t="e">
        <f>(H628/H612)*E60</f>
        <v>#DIV/0!</v>
      </c>
      <c r="I670" s="180" t="e">
        <f>(I629/I612)*E78</f>
        <v>#DIV/0!</v>
      </c>
      <c r="J670" s="180" t="e">
        <f>(J630/J612)*E79</f>
        <v>#DIV/0!</v>
      </c>
      <c r="K670" s="180" t="e">
        <f>(K644/K612)*E75</f>
        <v>#DIV/0!</v>
      </c>
      <c r="L670" s="180" t="e">
        <f>(L647/L612)*E80</f>
        <v>#DIV/0!</v>
      </c>
      <c r="M670" s="180" t="e">
        <f t="shared" si="20"/>
        <v>#DIV/0!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 t="e">
        <f>(H628/H612)*F60</f>
        <v>#DIV/0!</v>
      </c>
      <c r="I671" s="180" t="e">
        <f>(I629/I612)*F78</f>
        <v>#DIV/0!</v>
      </c>
      <c r="J671" s="180" t="e">
        <f>(J630/J612)*F79</f>
        <v>#DIV/0!</v>
      </c>
      <c r="K671" s="180" t="e">
        <f>(K644/K612)*F75</f>
        <v>#DIV/0!</v>
      </c>
      <c r="L671" s="180" t="e">
        <f>(L647/L612)*F80</f>
        <v>#DIV/0!</v>
      </c>
      <c r="M671" s="180" t="e">
        <f t="shared" si="20"/>
        <v>#DIV/0!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 t="e">
        <f>(H628/H612)*G60</f>
        <v>#DIV/0!</v>
      </c>
      <c r="I672" s="180" t="e">
        <f>(I629/I612)*G78</f>
        <v>#DIV/0!</v>
      </c>
      <c r="J672" s="180" t="e">
        <f>(J630/J612)*G79</f>
        <v>#DIV/0!</v>
      </c>
      <c r="K672" s="180" t="e">
        <f>(K644/K612)*G75</f>
        <v>#DIV/0!</v>
      </c>
      <c r="L672" s="180" t="e">
        <f>(L647/L612)*G80</f>
        <v>#DIV/0!</v>
      </c>
      <c r="M672" s="180" t="e">
        <f t="shared" si="20"/>
        <v>#DIV/0!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 t="e">
        <f>(H628/H612)*H60</f>
        <v>#DIV/0!</v>
      </c>
      <c r="I673" s="180" t="e">
        <f>(I629/I612)*H78</f>
        <v>#DIV/0!</v>
      </c>
      <c r="J673" s="180" t="e">
        <f>(J630/J612)*H79</f>
        <v>#DIV/0!</v>
      </c>
      <c r="K673" s="180" t="e">
        <f>(K644/K612)*H75</f>
        <v>#DIV/0!</v>
      </c>
      <c r="L673" s="180" t="e">
        <f>(L647/L612)*H80</f>
        <v>#DIV/0!</v>
      </c>
      <c r="M673" s="180" t="e">
        <f t="shared" si="20"/>
        <v>#DIV/0!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 t="e">
        <f>(H628/H612)*I60</f>
        <v>#DIV/0!</v>
      </c>
      <c r="I674" s="180" t="e">
        <f>(I629/I612)*I78</f>
        <v>#DIV/0!</v>
      </c>
      <c r="J674" s="180" t="e">
        <f>(J630/J612)*I79</f>
        <v>#DIV/0!</v>
      </c>
      <c r="K674" s="180" t="e">
        <f>(K644/K612)*I75</f>
        <v>#DIV/0!</v>
      </c>
      <c r="L674" s="180" t="e">
        <f>(L647/L612)*I80</f>
        <v>#DIV/0!</v>
      </c>
      <c r="M674" s="180" t="e">
        <f t="shared" si="20"/>
        <v>#DIV/0!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 t="e">
        <f>(H628/H612)*J60</f>
        <v>#DIV/0!</v>
      </c>
      <c r="I675" s="180" t="e">
        <f>(I629/I612)*J78</f>
        <v>#DIV/0!</v>
      </c>
      <c r="J675" s="180" t="e">
        <f>(J630/J612)*J79</f>
        <v>#DIV/0!</v>
      </c>
      <c r="K675" s="180" t="e">
        <f>(K644/K612)*J75</f>
        <v>#DIV/0!</v>
      </c>
      <c r="L675" s="180" t="e">
        <f>(L647/L612)*J80</f>
        <v>#DIV/0!</v>
      </c>
      <c r="M675" s="180" t="e">
        <f t="shared" si="20"/>
        <v>#DIV/0!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 t="e">
        <f>(H628/H612)*K60</f>
        <v>#DIV/0!</v>
      </c>
      <c r="I676" s="180" t="e">
        <f>(I629/I612)*K78</f>
        <v>#DIV/0!</v>
      </c>
      <c r="J676" s="180" t="e">
        <f>(J630/J612)*K79</f>
        <v>#DIV/0!</v>
      </c>
      <c r="K676" s="180" t="e">
        <f>(K644/K612)*K75</f>
        <v>#DIV/0!</v>
      </c>
      <c r="L676" s="180" t="e">
        <f>(L647/L612)*K80</f>
        <v>#DIV/0!</v>
      </c>
      <c r="M676" s="180" t="e">
        <f t="shared" si="20"/>
        <v>#DIV/0!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 t="e">
        <f>(H628/H612)*L60</f>
        <v>#DIV/0!</v>
      </c>
      <c r="I677" s="180" t="e">
        <f>(I629/I612)*L78</f>
        <v>#DIV/0!</v>
      </c>
      <c r="J677" s="180" t="e">
        <f>(J630/J612)*L79</f>
        <v>#DIV/0!</v>
      </c>
      <c r="K677" s="180" t="e">
        <f>(K644/K612)*L75</f>
        <v>#DIV/0!</v>
      </c>
      <c r="L677" s="180" t="e">
        <f>(L647/L612)*L80</f>
        <v>#DIV/0!</v>
      </c>
      <c r="M677" s="180" t="e">
        <f t="shared" si="20"/>
        <v>#DIV/0!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397165.72200000007</v>
      </c>
      <c r="D678" s="180">
        <f>(D615/D612)*M76</f>
        <v>0</v>
      </c>
      <c r="E678" s="180">
        <f>(E623/E612)*SUM(C678:D678)</f>
        <v>68144.582304507334</v>
      </c>
      <c r="F678" s="180">
        <f>(F624/F612)*M64</f>
        <v>4415.2402119257231</v>
      </c>
      <c r="G678" s="180">
        <f>(G625/G612)*M77</f>
        <v>0</v>
      </c>
      <c r="H678" s="180" t="e">
        <f>(H628/H612)*M60</f>
        <v>#DIV/0!</v>
      </c>
      <c r="I678" s="180" t="e">
        <f>(I629/I612)*M78</f>
        <v>#DIV/0!</v>
      </c>
      <c r="J678" s="180" t="e">
        <f>(J630/J612)*M79</f>
        <v>#DIV/0!</v>
      </c>
      <c r="K678" s="180" t="e">
        <f>(K644/K612)*M75</f>
        <v>#DIV/0!</v>
      </c>
      <c r="L678" s="180" t="e">
        <f>(L647/L612)*M80</f>
        <v>#DIV/0!</v>
      </c>
      <c r="M678" s="180" t="e">
        <f t="shared" si="20"/>
        <v>#DIV/0!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295126.48</v>
      </c>
      <c r="D679" s="180">
        <f>(D615/D612)*N76</f>
        <v>0</v>
      </c>
      <c r="E679" s="180">
        <f>(E623/E612)*SUM(C679:D679)</f>
        <v>50636.974926551018</v>
      </c>
      <c r="F679" s="180">
        <f>(F624/F612)*N64</f>
        <v>38.800922712685598</v>
      </c>
      <c r="G679" s="180">
        <f>(G625/G612)*N77</f>
        <v>0</v>
      </c>
      <c r="H679" s="180" t="e">
        <f>(H628/H612)*N60</f>
        <v>#DIV/0!</v>
      </c>
      <c r="I679" s="180" t="e">
        <f>(I629/I612)*N78</f>
        <v>#DIV/0!</v>
      </c>
      <c r="J679" s="180" t="e">
        <f>(J630/J612)*N79</f>
        <v>#DIV/0!</v>
      </c>
      <c r="K679" s="180" t="e">
        <f>(K644/K612)*N75</f>
        <v>#DIV/0!</v>
      </c>
      <c r="L679" s="180" t="e">
        <f>(L647/L612)*N80</f>
        <v>#DIV/0!</v>
      </c>
      <c r="M679" s="180" t="e">
        <f t="shared" si="20"/>
        <v>#DIV/0!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 t="e">
        <f>(H628/H612)*O60</f>
        <v>#DIV/0!</v>
      </c>
      <c r="I680" s="180" t="e">
        <f>(I629/I612)*O78</f>
        <v>#DIV/0!</v>
      </c>
      <c r="J680" s="180" t="e">
        <f>(J630/J612)*O79</f>
        <v>#DIV/0!</v>
      </c>
      <c r="K680" s="180" t="e">
        <f>(K644/K612)*O75</f>
        <v>#DIV/0!</v>
      </c>
      <c r="L680" s="180" t="e">
        <f>(L647/L612)*O80</f>
        <v>#DIV/0!</v>
      </c>
      <c r="M680" s="180" t="e">
        <f t="shared" si="20"/>
        <v>#DIV/0!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1583058.94</v>
      </c>
      <c r="D681" s="180">
        <f>(D615/D612)*P76</f>
        <v>109150.53023683299</v>
      </c>
      <c r="E681" s="180">
        <f>(E623/E612)*SUM(C681:D681)</f>
        <v>290344.56181246327</v>
      </c>
      <c r="F681" s="180">
        <f>(F624/F612)*P64</f>
        <v>17333.838656797685</v>
      </c>
      <c r="G681" s="180">
        <f>(G625/G612)*P77</f>
        <v>0</v>
      </c>
      <c r="H681" s="180" t="e">
        <f>(H628/H612)*P60</f>
        <v>#DIV/0!</v>
      </c>
      <c r="I681" s="180" t="e">
        <f>(I629/I612)*P78</f>
        <v>#DIV/0!</v>
      </c>
      <c r="J681" s="180" t="e">
        <f>(J630/J612)*P79</f>
        <v>#DIV/0!</v>
      </c>
      <c r="K681" s="180" t="e">
        <f>(K644/K612)*P75</f>
        <v>#DIV/0!</v>
      </c>
      <c r="L681" s="180" t="e">
        <f>(L647/L612)*P80</f>
        <v>#DIV/0!</v>
      </c>
      <c r="M681" s="180" t="e">
        <f t="shared" si="20"/>
        <v>#DIV/0!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 t="e">
        <f>(H628/H612)*Q60</f>
        <v>#DIV/0!</v>
      </c>
      <c r="I682" s="180" t="e">
        <f>(I629/I612)*Q78</f>
        <v>#DIV/0!</v>
      </c>
      <c r="J682" s="180" t="e">
        <f>(J630/J612)*Q79</f>
        <v>#DIV/0!</v>
      </c>
      <c r="K682" s="180" t="e">
        <f>(K644/K612)*Q75</f>
        <v>#DIV/0!</v>
      </c>
      <c r="L682" s="180" t="e">
        <f>(L647/L612)*Q80</f>
        <v>#DIV/0!</v>
      </c>
      <c r="M682" s="180" t="e">
        <f t="shared" si="20"/>
        <v>#DIV/0!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373615.72</v>
      </c>
      <c r="D683" s="180">
        <f>(D615/D612)*R76</f>
        <v>0</v>
      </c>
      <c r="E683" s="180">
        <f>(E623/E612)*SUM(C683:D683)</f>
        <v>64103.938913937192</v>
      </c>
      <c r="F683" s="180">
        <f>(F624/F612)*R64</f>
        <v>951.36854668038995</v>
      </c>
      <c r="G683" s="180">
        <f>(G625/G612)*R77</f>
        <v>0</v>
      </c>
      <c r="H683" s="180" t="e">
        <f>(H628/H612)*R60</f>
        <v>#DIV/0!</v>
      </c>
      <c r="I683" s="180" t="e">
        <f>(I629/I612)*R78</f>
        <v>#DIV/0!</v>
      </c>
      <c r="J683" s="180" t="e">
        <f>(J630/J612)*R79</f>
        <v>#DIV/0!</v>
      </c>
      <c r="K683" s="180" t="e">
        <f>(K644/K612)*R75</f>
        <v>#DIV/0!</v>
      </c>
      <c r="L683" s="180" t="e">
        <f>(L647/L612)*R80</f>
        <v>#DIV/0!</v>
      </c>
      <c r="M683" s="180" t="e">
        <f t="shared" si="20"/>
        <v>#DIV/0!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 t="e">
        <f>(H628/H612)*S60</f>
        <v>#DIV/0!</v>
      </c>
      <c r="I684" s="180" t="e">
        <f>(I629/I612)*S78</f>
        <v>#DIV/0!</v>
      </c>
      <c r="J684" s="180" t="e">
        <f>(J630/J612)*S79</f>
        <v>#DIV/0!</v>
      </c>
      <c r="K684" s="180" t="e">
        <f>(K644/K612)*S75</f>
        <v>#DIV/0!</v>
      </c>
      <c r="L684" s="180" t="e">
        <f>(L647/L612)*S80</f>
        <v>#DIV/0!</v>
      </c>
      <c r="M684" s="180" t="e">
        <f t="shared" si="20"/>
        <v>#DIV/0!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 t="e">
        <f>(H628/H612)*T60</f>
        <v>#DIV/0!</v>
      </c>
      <c r="I685" s="180" t="e">
        <f>(I629/I612)*T78</f>
        <v>#DIV/0!</v>
      </c>
      <c r="J685" s="180" t="e">
        <f>(J630/J612)*T79</f>
        <v>#DIV/0!</v>
      </c>
      <c r="K685" s="180" t="e">
        <f>(K644/K612)*T75</f>
        <v>#DIV/0!</v>
      </c>
      <c r="L685" s="180" t="e">
        <f>(L647/L612)*T80</f>
        <v>#DIV/0!</v>
      </c>
      <c r="M685" s="180" t="e">
        <f t="shared" si="20"/>
        <v>#DIV/0!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1302113.7300000002</v>
      </c>
      <c r="D686" s="180">
        <f>(D615/D612)*U76</f>
        <v>34216.226663593399</v>
      </c>
      <c r="E686" s="180">
        <f>(E623/E612)*SUM(C686:D686)</f>
        <v>229283.75152637408</v>
      </c>
      <c r="F686" s="180">
        <f>(F624/F612)*U64</f>
        <v>23196.47426725044</v>
      </c>
      <c r="G686" s="180">
        <f>(G625/G612)*U77</f>
        <v>0</v>
      </c>
      <c r="H686" s="180" t="e">
        <f>(H628/H612)*U60</f>
        <v>#DIV/0!</v>
      </c>
      <c r="I686" s="180" t="e">
        <f>(I629/I612)*U78</f>
        <v>#DIV/0!</v>
      </c>
      <c r="J686" s="180" t="e">
        <f>(J630/J612)*U79</f>
        <v>#DIV/0!</v>
      </c>
      <c r="K686" s="180" t="e">
        <f>(K644/K612)*U75</f>
        <v>#DIV/0!</v>
      </c>
      <c r="L686" s="180" t="e">
        <f>(L647/L612)*U80</f>
        <v>#DIV/0!</v>
      </c>
      <c r="M686" s="180" t="e">
        <f t="shared" si="20"/>
        <v>#DIV/0!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 t="e">
        <f>(H628/H612)*V60</f>
        <v>#DIV/0!</v>
      </c>
      <c r="I687" s="180" t="e">
        <f>(I629/I612)*V78</f>
        <v>#DIV/0!</v>
      </c>
      <c r="J687" s="180" t="e">
        <f>(J630/J612)*V79</f>
        <v>#DIV/0!</v>
      </c>
      <c r="K687" s="180" t="e">
        <f>(K644/K612)*V75</f>
        <v>#DIV/0!</v>
      </c>
      <c r="L687" s="180" t="e">
        <f>(L647/L612)*V80</f>
        <v>#DIV/0!</v>
      </c>
      <c r="M687" s="180" t="e">
        <f t="shared" si="20"/>
        <v>#DIV/0!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302186.56</v>
      </c>
      <c r="D688" s="180">
        <f>(D615/D612)*W76</f>
        <v>0</v>
      </c>
      <c r="E688" s="180">
        <f>(E623/E612)*SUM(C688:D688)</f>
        <v>51848.323680954367</v>
      </c>
      <c r="F688" s="180">
        <f>(F624/F612)*W64</f>
        <v>0</v>
      </c>
      <c r="G688" s="180">
        <f>(G625/G612)*W77</f>
        <v>0</v>
      </c>
      <c r="H688" s="180" t="e">
        <f>(H628/H612)*W60</f>
        <v>#DIV/0!</v>
      </c>
      <c r="I688" s="180" t="e">
        <f>(I629/I612)*W78</f>
        <v>#DIV/0!</v>
      </c>
      <c r="J688" s="180" t="e">
        <f>(J630/J612)*W79</f>
        <v>#DIV/0!</v>
      </c>
      <c r="K688" s="180" t="e">
        <f>(K644/K612)*W75</f>
        <v>#DIV/0!</v>
      </c>
      <c r="L688" s="180" t="e">
        <f>(L647/L612)*W80</f>
        <v>#DIV/0!</v>
      </c>
      <c r="M688" s="180" t="e">
        <f t="shared" si="20"/>
        <v>#DIV/0!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370106.49</v>
      </c>
      <c r="D689" s="180">
        <f>(D615/D612)*X76</f>
        <v>11910.469034804653</v>
      </c>
      <c r="E689" s="180">
        <f>(E623/E612)*SUM(C689:D689)</f>
        <v>65545.399979570357</v>
      </c>
      <c r="F689" s="180">
        <f>(F624/F612)*X64</f>
        <v>3201.9477241965164</v>
      </c>
      <c r="G689" s="180">
        <f>(G625/G612)*X77</f>
        <v>0</v>
      </c>
      <c r="H689" s="180" t="e">
        <f>(H628/H612)*X60</f>
        <v>#DIV/0!</v>
      </c>
      <c r="I689" s="180" t="e">
        <f>(I629/I612)*X78</f>
        <v>#DIV/0!</v>
      </c>
      <c r="J689" s="180" t="e">
        <f>(J630/J612)*X79</f>
        <v>#DIV/0!</v>
      </c>
      <c r="K689" s="180" t="e">
        <f>(K644/K612)*X75</f>
        <v>#DIV/0!</v>
      </c>
      <c r="L689" s="180" t="e">
        <f>(L647/L612)*X80</f>
        <v>#DIV/0!</v>
      </c>
      <c r="M689" s="180" t="e">
        <f t="shared" si="20"/>
        <v>#DIV/0!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1216779.8999999999</v>
      </c>
      <c r="D690" s="180">
        <f>(D615/D612)*Y76</f>
        <v>43288.129809265869</v>
      </c>
      <c r="E690" s="180">
        <f>(E623/E612)*SUM(C690:D690)</f>
        <v>216198.94369085532</v>
      </c>
      <c r="F690" s="180">
        <f>(F624/F612)*Y64</f>
        <v>1994.8700681534858</v>
      </c>
      <c r="G690" s="180">
        <f>(G625/G612)*Y77</f>
        <v>0</v>
      </c>
      <c r="H690" s="180" t="e">
        <f>(H628/H612)*Y60</f>
        <v>#DIV/0!</v>
      </c>
      <c r="I690" s="180" t="e">
        <f>(I629/I612)*Y78</f>
        <v>#DIV/0!</v>
      </c>
      <c r="J690" s="180" t="e">
        <f>(J630/J612)*Y79</f>
        <v>#DIV/0!</v>
      </c>
      <c r="K690" s="180" t="e">
        <f>(K644/K612)*Y75</f>
        <v>#DIV/0!</v>
      </c>
      <c r="L690" s="180" t="e">
        <f>(L647/L612)*Y80</f>
        <v>#DIV/0!</v>
      </c>
      <c r="M690" s="180" t="e">
        <f t="shared" si="20"/>
        <v>#DIV/0!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 t="e">
        <f>(H628/H612)*Z60</f>
        <v>#DIV/0!</v>
      </c>
      <c r="I691" s="180" t="e">
        <f>(I629/I612)*Z78</f>
        <v>#DIV/0!</v>
      </c>
      <c r="J691" s="180" t="e">
        <f>(J630/J612)*Z79</f>
        <v>#DIV/0!</v>
      </c>
      <c r="K691" s="180" t="e">
        <f>(K644/K612)*Z75</f>
        <v>#DIV/0!</v>
      </c>
      <c r="L691" s="180" t="e">
        <f>(L647/L612)*Z80</f>
        <v>#DIV/0!</v>
      </c>
      <c r="M691" s="180" t="e">
        <f t="shared" si="20"/>
        <v>#DIV/0!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 t="e">
        <f>(H628/H612)*AA60</f>
        <v>#DIV/0!</v>
      </c>
      <c r="I692" s="180" t="e">
        <f>(I629/I612)*AA78</f>
        <v>#DIV/0!</v>
      </c>
      <c r="J692" s="180" t="e">
        <f>(J630/J612)*AA79</f>
        <v>#DIV/0!</v>
      </c>
      <c r="K692" s="180" t="e">
        <f>(K644/K612)*AA75</f>
        <v>#DIV/0!</v>
      </c>
      <c r="L692" s="180" t="e">
        <f>(L647/L612)*AA80</f>
        <v>#DIV/0!</v>
      </c>
      <c r="M692" s="180" t="e">
        <f t="shared" si="20"/>
        <v>#DIV/0!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561211.72</v>
      </c>
      <c r="D693" s="180">
        <f>(D615/D612)*AB76</f>
        <v>4583.9003209634657</v>
      </c>
      <c r="E693" s="180">
        <f>(E623/E612)*SUM(C693:D693)</f>
        <v>97077.628004593178</v>
      </c>
      <c r="F693" s="180">
        <f>(F624/F612)*AB64</f>
        <v>12058.318155633719</v>
      </c>
      <c r="G693" s="180">
        <f>(G625/G612)*AB77</f>
        <v>0</v>
      </c>
      <c r="H693" s="180" t="e">
        <f>(H628/H612)*AB60</f>
        <v>#DIV/0!</v>
      </c>
      <c r="I693" s="180" t="e">
        <f>(I629/I612)*AB78</f>
        <v>#DIV/0!</v>
      </c>
      <c r="J693" s="180" t="e">
        <f>(J630/J612)*AB79</f>
        <v>#DIV/0!</v>
      </c>
      <c r="K693" s="180" t="e">
        <f>(K644/K612)*AB75</f>
        <v>#DIV/0!</v>
      </c>
      <c r="L693" s="180" t="e">
        <f>(L647/L612)*AB80</f>
        <v>#DIV/0!</v>
      </c>
      <c r="M693" s="180" t="e">
        <f t="shared" si="20"/>
        <v>#DIV/0!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63584.81</v>
      </c>
      <c r="D694" s="180">
        <f>(D615/D612)*AC76</f>
        <v>6559.3887438054617</v>
      </c>
      <c r="E694" s="180">
        <f>(E623/E612)*SUM(C694:D694)</f>
        <v>12035.145179223122</v>
      </c>
      <c r="F694" s="180">
        <f>(F624/F612)*AC64</f>
        <v>-114.1502425645555</v>
      </c>
      <c r="G694" s="180">
        <f>(G625/G612)*AC77</f>
        <v>0</v>
      </c>
      <c r="H694" s="180" t="e">
        <f>(H628/H612)*AC60</f>
        <v>#DIV/0!</v>
      </c>
      <c r="I694" s="180" t="e">
        <f>(I629/I612)*AC78</f>
        <v>#DIV/0!</v>
      </c>
      <c r="J694" s="180" t="e">
        <f>(J630/J612)*AC79</f>
        <v>#DIV/0!</v>
      </c>
      <c r="K694" s="180" t="e">
        <f>(K644/K612)*AC75</f>
        <v>#DIV/0!</v>
      </c>
      <c r="L694" s="180" t="e">
        <f>(L647/L612)*AC80</f>
        <v>#DIV/0!</v>
      </c>
      <c r="M694" s="180" t="e">
        <f t="shared" si="20"/>
        <v>#DIV/0!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 t="e">
        <f>(H628/H612)*AD60</f>
        <v>#DIV/0!</v>
      </c>
      <c r="I695" s="180" t="e">
        <f>(I629/I612)*AD78</f>
        <v>#DIV/0!</v>
      </c>
      <c r="J695" s="180" t="e">
        <f>(J630/J612)*AD79</f>
        <v>#DIV/0!</v>
      </c>
      <c r="K695" s="180" t="e">
        <f>(K644/K612)*AD75</f>
        <v>#DIV/0!</v>
      </c>
      <c r="L695" s="180" t="e">
        <f>(L647/L612)*AD80</f>
        <v>#DIV/0!</v>
      </c>
      <c r="M695" s="180" t="e">
        <f t="shared" si="20"/>
        <v>#DIV/0!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923406.32</v>
      </c>
      <c r="D696" s="180">
        <f>(D615/D612)*AE76</f>
        <v>88436.671045868366</v>
      </c>
      <c r="E696" s="180">
        <f>(E623/E612)*SUM(C696:D696)</f>
        <v>173609.18670258264</v>
      </c>
      <c r="F696" s="180">
        <f>(F624/F612)*AE64</f>
        <v>1012.3130657505012</v>
      </c>
      <c r="G696" s="180">
        <f>(G625/G612)*AE77</f>
        <v>0</v>
      </c>
      <c r="H696" s="180" t="e">
        <f>(H628/H612)*AE60</f>
        <v>#DIV/0!</v>
      </c>
      <c r="I696" s="180" t="e">
        <f>(I629/I612)*AE78</f>
        <v>#DIV/0!</v>
      </c>
      <c r="J696" s="180" t="e">
        <f>(J630/J612)*AE79</f>
        <v>#DIV/0!</v>
      </c>
      <c r="K696" s="180" t="e">
        <f>(K644/K612)*AE75</f>
        <v>#DIV/0!</v>
      </c>
      <c r="L696" s="180" t="e">
        <f>(L647/L612)*AE80</f>
        <v>#DIV/0!</v>
      </c>
      <c r="M696" s="180" t="e">
        <f t="shared" si="20"/>
        <v>#DIV/0!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 t="e">
        <f>(H628/H612)*AF60</f>
        <v>#DIV/0!</v>
      </c>
      <c r="I697" s="180" t="e">
        <f>(I629/I612)*AF78</f>
        <v>#DIV/0!</v>
      </c>
      <c r="J697" s="180" t="e">
        <f>(J630/J612)*AF79</f>
        <v>#DIV/0!</v>
      </c>
      <c r="K697" s="180" t="e">
        <f>(K644/K612)*AF75</f>
        <v>#DIV/0!</v>
      </c>
      <c r="L697" s="180" t="e">
        <f>(L647/L612)*AF80</f>
        <v>#DIV/0!</v>
      </c>
      <c r="M697" s="180" t="e">
        <f t="shared" si="20"/>
        <v>#DIV/0!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2585212.2200000002</v>
      </c>
      <c r="D698" s="180">
        <f>(D615/D612)*AG76</f>
        <v>39394.691461334558</v>
      </c>
      <c r="E698" s="180">
        <f>(E623/E612)*SUM(C698:D698)</f>
        <v>450322.70356668817</v>
      </c>
      <c r="F698" s="180">
        <f>(F624/F612)*AG64</f>
        <v>4542.398956778552</v>
      </c>
      <c r="G698" s="180">
        <f>(G625/G612)*AG77</f>
        <v>0</v>
      </c>
      <c r="H698" s="180" t="e">
        <f>(H628/H612)*AG60</f>
        <v>#DIV/0!</v>
      </c>
      <c r="I698" s="180" t="e">
        <f>(I629/I612)*AG78</f>
        <v>#DIV/0!</v>
      </c>
      <c r="J698" s="180" t="e">
        <f>(J630/J612)*AG79</f>
        <v>#DIV/0!</v>
      </c>
      <c r="K698" s="180" t="e">
        <f>(K644/K612)*AG75</f>
        <v>#DIV/0!</v>
      </c>
      <c r="L698" s="180" t="e">
        <f>(L647/L612)*AG80</f>
        <v>#DIV/0!</v>
      </c>
      <c r="M698" s="180" t="e">
        <f t="shared" si="20"/>
        <v>#DIV/0!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 t="e">
        <f>(H628/H612)*AH60</f>
        <v>#DIV/0!</v>
      </c>
      <c r="I699" s="180" t="e">
        <f>(I629/I612)*AH78</f>
        <v>#DIV/0!</v>
      </c>
      <c r="J699" s="180" t="e">
        <f>(J630/J612)*AH79</f>
        <v>#DIV/0!</v>
      </c>
      <c r="K699" s="180" t="e">
        <f>(K644/K612)*AH75</f>
        <v>#DIV/0!</v>
      </c>
      <c r="L699" s="180" t="e">
        <f>(L647/L612)*AH80</f>
        <v>#DIV/0!</v>
      </c>
      <c r="M699" s="180" t="e">
        <f t="shared" si="20"/>
        <v>#DIV/0!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 t="e">
        <f>(H628/H612)*AI60</f>
        <v>#DIV/0!</v>
      </c>
      <c r="I700" s="180" t="e">
        <f>(I629/I612)*AI78</f>
        <v>#DIV/0!</v>
      </c>
      <c r="J700" s="180" t="e">
        <f>(J630/J612)*AI79</f>
        <v>#DIV/0!</v>
      </c>
      <c r="K700" s="180" t="e">
        <f>(K644/K612)*AI75</f>
        <v>#DIV/0!</v>
      </c>
      <c r="L700" s="180" t="e">
        <f>(L647/L612)*AI80</f>
        <v>#DIV/0!</v>
      </c>
      <c r="M700" s="180" t="e">
        <f t="shared" si="20"/>
        <v>#DIV/0!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4120269.63</v>
      </c>
      <c r="D701" s="180">
        <f>(D615/D612)*AJ76</f>
        <v>247377.18133802002</v>
      </c>
      <c r="E701" s="180">
        <f>(E623/E612)*SUM(C701:D701)</f>
        <v>749388.60814439226</v>
      </c>
      <c r="F701" s="180">
        <f>(F624/F612)*AJ64</f>
        <v>12453.159152459908</v>
      </c>
      <c r="G701" s="180">
        <f>(G625/G612)*AJ77</f>
        <v>0</v>
      </c>
      <c r="H701" s="180" t="e">
        <f>(H628/H612)*AJ60</f>
        <v>#DIV/0!</v>
      </c>
      <c r="I701" s="180" t="e">
        <f>(I629/I612)*AJ78</f>
        <v>#DIV/0!</v>
      </c>
      <c r="J701" s="180" t="e">
        <f>(J630/J612)*AJ79</f>
        <v>#DIV/0!</v>
      </c>
      <c r="K701" s="180" t="e">
        <f>(K644/K612)*AJ75</f>
        <v>#DIV/0!</v>
      </c>
      <c r="L701" s="180" t="e">
        <f>(L647/L612)*AJ80</f>
        <v>#DIV/0!</v>
      </c>
      <c r="M701" s="180" t="e">
        <f t="shared" si="20"/>
        <v>#DIV/0!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 t="e">
        <f>(H628/H612)*AK60</f>
        <v>#DIV/0!</v>
      </c>
      <c r="I702" s="180" t="e">
        <f>(I629/I612)*AK78</f>
        <v>#DIV/0!</v>
      </c>
      <c r="J702" s="180" t="e">
        <f>(J630/J612)*AK79</f>
        <v>#DIV/0!</v>
      </c>
      <c r="K702" s="180" t="e">
        <f>(K644/K612)*AK75</f>
        <v>#DIV/0!</v>
      </c>
      <c r="L702" s="180" t="e">
        <f>(L647/L612)*AK80</f>
        <v>#DIV/0!</v>
      </c>
      <c r="M702" s="180" t="e">
        <f t="shared" si="20"/>
        <v>#DIV/0!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 t="e">
        <f>(H628/H612)*AL60</f>
        <v>#DIV/0!</v>
      </c>
      <c r="I703" s="180" t="e">
        <f>(I629/I612)*AL78</f>
        <v>#DIV/0!</v>
      </c>
      <c r="J703" s="180" t="e">
        <f>(J630/J612)*AL79</f>
        <v>#DIV/0!</v>
      </c>
      <c r="K703" s="180" t="e">
        <f>(K644/K612)*AL75</f>
        <v>#DIV/0!</v>
      </c>
      <c r="L703" s="180" t="e">
        <f>(L647/L612)*AL80</f>
        <v>#DIV/0!</v>
      </c>
      <c r="M703" s="180" t="e">
        <f t="shared" si="20"/>
        <v>#DIV/0!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 t="e">
        <f>(H628/H612)*AM60</f>
        <v>#DIV/0!</v>
      </c>
      <c r="I704" s="180" t="e">
        <f>(I629/I612)*AM78</f>
        <v>#DIV/0!</v>
      </c>
      <c r="J704" s="180" t="e">
        <f>(J630/J612)*AM79</f>
        <v>#DIV/0!</v>
      </c>
      <c r="K704" s="180" t="e">
        <f>(K644/K612)*AM75</f>
        <v>#DIV/0!</v>
      </c>
      <c r="L704" s="180" t="e">
        <f>(L647/L612)*AM80</f>
        <v>#DIV/0!</v>
      </c>
      <c r="M704" s="180" t="e">
        <f t="shared" si="20"/>
        <v>#DIV/0!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 t="e">
        <f>(H628/H612)*AN60</f>
        <v>#DIV/0!</v>
      </c>
      <c r="I705" s="180" t="e">
        <f>(I629/I612)*AN78</f>
        <v>#DIV/0!</v>
      </c>
      <c r="J705" s="180" t="e">
        <f>(J630/J612)*AN79</f>
        <v>#DIV/0!</v>
      </c>
      <c r="K705" s="180" t="e">
        <f>(K644/K612)*AN75</f>
        <v>#DIV/0!</v>
      </c>
      <c r="L705" s="180" t="e">
        <f>(L647/L612)*AN80</f>
        <v>#DIV/0!</v>
      </c>
      <c r="M705" s="180" t="e">
        <f t="shared" si="20"/>
        <v>#DIV/0!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 t="e">
        <f>(H628/H612)*AO60</f>
        <v>#DIV/0!</v>
      </c>
      <c r="I706" s="180" t="e">
        <f>(I629/I612)*AO78</f>
        <v>#DIV/0!</v>
      </c>
      <c r="J706" s="180" t="e">
        <f>(J630/J612)*AO79</f>
        <v>#DIV/0!</v>
      </c>
      <c r="K706" s="180" t="e">
        <f>(K644/K612)*AO75</f>
        <v>#DIV/0!</v>
      </c>
      <c r="L706" s="180" t="e">
        <f>(L647/L612)*AO80</f>
        <v>#DIV/0!</v>
      </c>
      <c r="M706" s="180" t="e">
        <f t="shared" si="20"/>
        <v>#DIV/0!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 t="e">
        <f>(H628/H612)*AP60</f>
        <v>#DIV/0!</v>
      </c>
      <c r="I707" s="180" t="e">
        <f>(I629/I612)*AP78</f>
        <v>#DIV/0!</v>
      </c>
      <c r="J707" s="180" t="e">
        <f>(J630/J612)*AP79</f>
        <v>#DIV/0!</v>
      </c>
      <c r="K707" s="180" t="e">
        <f>(K644/K612)*AP75</f>
        <v>#DIV/0!</v>
      </c>
      <c r="L707" s="180" t="e">
        <f>(L647/L612)*AP80</f>
        <v>#DIV/0!</v>
      </c>
      <c r="M707" s="180" t="e">
        <f t="shared" si="20"/>
        <v>#DIV/0!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 t="e">
        <f>(H628/H612)*AQ60</f>
        <v>#DIV/0!</v>
      </c>
      <c r="I708" s="180" t="e">
        <f>(I629/I612)*AQ78</f>
        <v>#DIV/0!</v>
      </c>
      <c r="J708" s="180" t="e">
        <f>(J630/J612)*AQ79</f>
        <v>#DIV/0!</v>
      </c>
      <c r="K708" s="180" t="e">
        <f>(K644/K612)*AQ75</f>
        <v>#DIV/0!</v>
      </c>
      <c r="L708" s="180" t="e">
        <f>(L647/L612)*AQ80</f>
        <v>#DIV/0!</v>
      </c>
      <c r="M708" s="180" t="e">
        <f t="shared" si="20"/>
        <v>#DIV/0!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396737.60000000003</v>
      </c>
      <c r="D709" s="180">
        <f>(D615/D612)*AR76</f>
        <v>18930.165760631549</v>
      </c>
      <c r="E709" s="180">
        <f>(E623/E612)*SUM(C709:D709)</f>
        <v>71319.111157347128</v>
      </c>
      <c r="F709" s="180">
        <f>(F624/F612)*AR64</f>
        <v>1073.6018135061772</v>
      </c>
      <c r="G709" s="180">
        <f>(G625/G612)*AR77</f>
        <v>0</v>
      </c>
      <c r="H709" s="180" t="e">
        <f>(H628/H612)*AR60</f>
        <v>#DIV/0!</v>
      </c>
      <c r="I709" s="180" t="e">
        <f>(I629/I612)*AR78</f>
        <v>#DIV/0!</v>
      </c>
      <c r="J709" s="180" t="e">
        <f>(J630/J612)*AR79</f>
        <v>#DIV/0!</v>
      </c>
      <c r="K709" s="180" t="e">
        <f>(K644/K612)*AR75</f>
        <v>#DIV/0!</v>
      </c>
      <c r="L709" s="180" t="e">
        <f>(L647/L612)*AR80</f>
        <v>#DIV/0!</v>
      </c>
      <c r="M709" s="180" t="e">
        <f t="shared" si="20"/>
        <v>#DIV/0!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 t="e">
        <f>(H628/H612)*AS60</f>
        <v>#DIV/0!</v>
      </c>
      <c r="I710" s="180" t="e">
        <f>(I629/I612)*AS78</f>
        <v>#DIV/0!</v>
      </c>
      <c r="J710" s="180" t="e">
        <f>(J630/J612)*AS79</f>
        <v>#DIV/0!</v>
      </c>
      <c r="K710" s="180" t="e">
        <f>(K644/K612)*AS75</f>
        <v>#DIV/0!</v>
      </c>
      <c r="L710" s="180" t="e">
        <f>(L647/L612)*AS80</f>
        <v>#DIV/0!</v>
      </c>
      <c r="M710" s="180" t="e">
        <f t="shared" si="20"/>
        <v>#DIV/0!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 t="e">
        <f>(H628/H612)*AT60</f>
        <v>#DIV/0!</v>
      </c>
      <c r="I711" s="180" t="e">
        <f>(I629/I612)*AT78</f>
        <v>#DIV/0!</v>
      </c>
      <c r="J711" s="180" t="e">
        <f>(J630/J612)*AT79</f>
        <v>#DIV/0!</v>
      </c>
      <c r="K711" s="180" t="e">
        <f>(K644/K612)*AT75</f>
        <v>#DIV/0!</v>
      </c>
      <c r="L711" s="180" t="e">
        <f>(L647/L612)*AT80</f>
        <v>#DIV/0!</v>
      </c>
      <c r="M711" s="180" t="e">
        <f t="shared" si="20"/>
        <v>#DIV/0!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 t="e">
        <f>(H628/H612)*AU60</f>
        <v>#DIV/0!</v>
      </c>
      <c r="I712" s="180" t="e">
        <f>(I629/I612)*AU78</f>
        <v>#DIV/0!</v>
      </c>
      <c r="J712" s="180" t="e">
        <f>(J630/J612)*AU79</f>
        <v>#DIV/0!</v>
      </c>
      <c r="K712" s="180" t="e">
        <f>(K644/K612)*AU75</f>
        <v>#DIV/0!</v>
      </c>
      <c r="L712" s="180" t="e">
        <f>(L647/L612)*AU80</f>
        <v>#DIV/0!</v>
      </c>
      <c r="M712" s="180" t="e">
        <f t="shared" si="20"/>
        <v>#DIV/0!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 t="e">
        <f>(H628/H612)*AV60</f>
        <v>#DIV/0!</v>
      </c>
      <c r="I713" s="180" t="e">
        <f>(I629/I612)*AV78</f>
        <v>#DIV/0!</v>
      </c>
      <c r="J713" s="180" t="e">
        <f>(J630/J612)*AV79</f>
        <v>#DIV/0!</v>
      </c>
      <c r="K713" s="180" t="e">
        <f>(K644/K612)*AV75</f>
        <v>#DIV/0!</v>
      </c>
      <c r="L713" s="180" t="e">
        <f>(L647/L612)*AV80</f>
        <v>#DIV/0!</v>
      </c>
      <c r="M713" s="180" t="e">
        <f t="shared" si="20"/>
        <v>#DIV/0!</v>
      </c>
      <c r="N713" s="199" t="s">
        <v>741</v>
      </c>
    </row>
    <row r="715" spans="1:15" ht="12.6" customHeight="1" x14ac:dyDescent="0.25">
      <c r="C715" s="180">
        <f>SUM(C614:C647)+SUM(C668:C713)</f>
        <v>26400749.422000002</v>
      </c>
      <c r="D715" s="180">
        <f>SUM(D616:D647)+SUM(D668:D713)</f>
        <v>998523.08999999985</v>
      </c>
      <c r="E715" s="180">
        <f>SUM(E624:E647)+SUM(E668:E713)</f>
        <v>3866383.4117690432</v>
      </c>
      <c r="F715" s="180">
        <f>SUM(F625:F648)+SUM(F668:F713)</f>
        <v>108449.79414263653</v>
      </c>
      <c r="G715" s="180">
        <f>SUM(G626:G647)+SUM(G668:G713)</f>
        <v>695107.33837402449</v>
      </c>
      <c r="H715" s="180" t="e">
        <f>SUM(H629:H647)+SUM(H668:H713)</f>
        <v>#DIV/0!</v>
      </c>
      <c r="I715" s="180" t="e">
        <f>SUM(I630:I647)+SUM(I668:I713)</f>
        <v>#DIV/0!</v>
      </c>
      <c r="J715" s="180" t="e">
        <f>SUM(J631:J647)+SUM(J668:J713)</f>
        <v>#DIV/0!</v>
      </c>
      <c r="K715" s="180" t="e">
        <f>SUM(K668:K713)</f>
        <v>#DIV/0!</v>
      </c>
      <c r="L715" s="180" t="e">
        <f>SUM(L668:L713)</f>
        <v>#DIV/0!</v>
      </c>
      <c r="M715" s="180" t="e">
        <f>SUM(M668:M713)</f>
        <v>#DIV/0!</v>
      </c>
      <c r="N715" s="198" t="s">
        <v>742</v>
      </c>
    </row>
    <row r="716" spans="1:15" ht="12.6" customHeight="1" x14ac:dyDescent="0.25">
      <c r="C716" s="180">
        <f>CE71</f>
        <v>26400749.421999991</v>
      </c>
      <c r="D716" s="180">
        <f>D615</f>
        <v>998523.08999999985</v>
      </c>
      <c r="E716" s="180">
        <f>E623</f>
        <v>3866383.4117690441</v>
      </c>
      <c r="F716" s="180">
        <f>F624</f>
        <v>108449.7941426365</v>
      </c>
      <c r="G716" s="180">
        <f>G625</f>
        <v>695107.33837402449</v>
      </c>
      <c r="H716" s="180">
        <f>H628</f>
        <v>23975.771708822158</v>
      </c>
      <c r="I716" s="180" t="e">
        <f>I629</f>
        <v>#DIV/0!</v>
      </c>
      <c r="J716" s="180" t="e">
        <f>J630</f>
        <v>#DIV/0!</v>
      </c>
      <c r="K716" s="180" t="e">
        <f>K644</f>
        <v>#DIV/0!</v>
      </c>
      <c r="L716" s="180" t="e">
        <f>L647</f>
        <v>#DIV/0!</v>
      </c>
      <c r="M716" s="180">
        <f>C648</f>
        <v>9039200.5799999982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C25" transitionEvaluation="1" transitionEntry="1" codeName="Sheet10">
    <pageSetUpPr autoPageBreaks="0" fitToPage="1"/>
  </sheetPr>
  <dimension ref="A1:CF817"/>
  <sheetViews>
    <sheetView showGridLines="0" topLeftCell="A25" zoomScale="75" workbookViewId="0">
      <pane xSplit="2" topLeftCell="C1" activePane="topRight" state="frozen"/>
      <selection activeCell="A22" sqref="A22"/>
      <selection pane="topRight" activeCell="CO80" sqref="CO80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>
        <f>120309.6+49188.96+193294.85+1602.03</f>
        <v>364395.44000000006</v>
      </c>
      <c r="F47" s="184"/>
      <c r="G47" s="184"/>
      <c r="H47" s="184"/>
      <c r="I47" s="184"/>
      <c r="J47" s="184"/>
      <c r="K47" s="184"/>
      <c r="L47" s="184"/>
      <c r="M47" s="184"/>
      <c r="N47" s="184">
        <f>11444.22+4704.63+15681.19+42.18</f>
        <v>31872.22</v>
      </c>
      <c r="O47" s="184"/>
      <c r="P47" s="184">
        <f>26685.89+5269.86+39779.51+237.9+32873.09+29709.74+47828.41+881.58</f>
        <v>183265.97999999998</v>
      </c>
      <c r="Q47" s="184"/>
      <c r="R47" s="184">
        <f>20053.79+4999.8+27538.57+720</f>
        <v>53312.160000000003</v>
      </c>
      <c r="S47" s="184"/>
      <c r="T47" s="184"/>
      <c r="U47" s="184">
        <f>38417.31+8558.25+63973.72+222.3</f>
        <v>111171.58</v>
      </c>
      <c r="V47" s="184"/>
      <c r="W47" s="184"/>
      <c r="X47" s="184"/>
      <c r="Y47" s="184">
        <f>47909.12+18668.87+74776.64+269.1</f>
        <v>141623.73000000001</v>
      </c>
      <c r="Z47" s="184"/>
      <c r="AA47" s="184"/>
      <c r="AB47" s="184">
        <f>2568.42-151.1</f>
        <v>2417.3200000000002</v>
      </c>
      <c r="AC47" s="184">
        <f>3472.99+9800.34+39</f>
        <v>13312.33</v>
      </c>
      <c r="AD47" s="184"/>
      <c r="AE47" s="184">
        <f>30886.63+2802.67+48395.47+206.5</f>
        <v>82291.27</v>
      </c>
      <c r="AF47" s="184"/>
      <c r="AG47" s="184">
        <f>91250.8+27314.97+148047.14+1482.4</f>
        <v>268095.31000000006</v>
      </c>
      <c r="AH47" s="184"/>
      <c r="AI47" s="184"/>
      <c r="AJ47" s="184">
        <f>160128.21+68993.1+373817.44+3699.61+8129.52</f>
        <v>614767.88</v>
      </c>
      <c r="AK47" s="184"/>
      <c r="AL47" s="184"/>
      <c r="AM47" s="184"/>
      <c r="AN47" s="184"/>
      <c r="AO47" s="184"/>
      <c r="AP47" s="184"/>
      <c r="AQ47" s="184"/>
      <c r="AR47" s="184">
        <f>17943.86+859.85+15191.66+39.8+18068.92+2210.25+28960.74+113.1</f>
        <v>83388.180000000008</v>
      </c>
      <c r="AS47" s="184"/>
      <c r="AT47" s="184"/>
      <c r="AU47" s="184"/>
      <c r="AV47" s="184"/>
      <c r="AW47" s="184">
        <f>5523.98+2458.53+14173.12+46.8</f>
        <v>22202.43</v>
      </c>
      <c r="AX47" s="184"/>
      <c r="AY47" s="184">
        <f>17822.48+6129.14+59769.89+237.9</f>
        <v>83959.409999999989</v>
      </c>
      <c r="AZ47" s="184"/>
      <c r="BA47" s="184"/>
      <c r="BB47" s="184"/>
      <c r="BC47" s="184">
        <v>2174.5500000000002</v>
      </c>
      <c r="BD47" s="184">
        <f>3907+2009.25+11158.95+46.8</f>
        <v>17122</v>
      </c>
      <c r="BE47" s="184">
        <f>28487.38+8577.45+63513.51+257.4</f>
        <v>100835.73999999999</v>
      </c>
      <c r="BF47" s="184">
        <f>22373.54+7343.97+66433.87+315.9</f>
        <v>96467.28</v>
      </c>
      <c r="BG47" s="184"/>
      <c r="BH47" s="184">
        <f>27904.46+13496.59+50822.41+202.68</f>
        <v>92426.14</v>
      </c>
      <c r="BI47" s="184"/>
      <c r="BJ47" s="184">
        <f>11283.47+4651.87+12504.47+93.6</f>
        <v>28533.409999999996</v>
      </c>
      <c r="BK47" s="184">
        <f>30014.08+8559.11+70925.01+361.08</f>
        <v>109859.28</v>
      </c>
      <c r="BL47" s="184">
        <f>12771.73+2207.67+27257.72+136.5</f>
        <v>42373.62</v>
      </c>
      <c r="BM47" s="184"/>
      <c r="BN47" s="184">
        <f>15056.06+25072.66+14275.06+2647.87+69331.4+128.7-5942.66+42272.86-224.82+52507.06+146.9+2116.14+44869.85+20764.2</f>
        <v>283021.27999999997</v>
      </c>
      <c r="BO47" s="184"/>
      <c r="BP47" s="184"/>
      <c r="BQ47" s="184"/>
      <c r="BR47" s="184"/>
      <c r="BS47" s="184"/>
      <c r="BT47" s="184"/>
      <c r="BU47" s="184"/>
      <c r="BV47" s="184">
        <f>12790.97+4318.34+46791.34+140.4</f>
        <v>64041.049999999996</v>
      </c>
      <c r="BW47" s="184"/>
      <c r="BX47" s="184"/>
      <c r="BY47" s="184">
        <f>13908.52+2669.66+36890.06+1246</f>
        <v>54714.239999999998</v>
      </c>
      <c r="BZ47" s="184"/>
      <c r="CA47" s="184"/>
      <c r="CB47" s="184"/>
      <c r="CC47" s="184">
        <f>4162.22+2069.67</f>
        <v>6231.89</v>
      </c>
      <c r="CD47" s="195"/>
      <c r="CE47" s="195">
        <f>SUM(C47:CC47)</f>
        <v>2953875.7199999993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>
        <v>190271.67</v>
      </c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>
        <f>1015816.31-8862.12</f>
        <v>1006954.1900000001</v>
      </c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1197225.8600000001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397</v>
      </c>
      <c r="F59" s="184"/>
      <c r="G59" s="184"/>
      <c r="H59" s="184"/>
      <c r="I59" s="184"/>
      <c r="J59" s="184"/>
      <c r="K59" s="184"/>
      <c r="L59" s="184"/>
      <c r="M59" s="184">
        <v>850</v>
      </c>
      <c r="N59" s="184">
        <v>898</v>
      </c>
      <c r="O59" s="184"/>
      <c r="P59" s="185">
        <v>2609</v>
      </c>
      <c r="Q59" s="185"/>
      <c r="R59" s="185"/>
      <c r="S59" s="248"/>
      <c r="T59" s="248"/>
      <c r="U59" s="224">
        <v>55930</v>
      </c>
      <c r="V59" s="185"/>
      <c r="W59" s="185">
        <v>464</v>
      </c>
      <c r="X59" s="185">
        <v>1524</v>
      </c>
      <c r="Y59" s="185">
        <v>6564</v>
      </c>
      <c r="Z59" s="185"/>
      <c r="AA59" s="185"/>
      <c r="AB59" s="248"/>
      <c r="AC59" s="185">
        <v>581</v>
      </c>
      <c r="AD59" s="185"/>
      <c r="AE59" s="185">
        <v>11209</v>
      </c>
      <c r="AF59" s="185"/>
      <c r="AG59" s="185">
        <v>5441</v>
      </c>
      <c r="AH59" s="185"/>
      <c r="AI59" s="185"/>
      <c r="AJ59" s="185">
        <v>20821</v>
      </c>
      <c r="AK59" s="185">
        <v>1044</v>
      </c>
      <c r="AL59" s="185"/>
      <c r="AM59" s="185"/>
      <c r="AN59" s="185"/>
      <c r="AO59" s="185"/>
      <c r="AP59" s="185"/>
      <c r="AQ59" s="185"/>
      <c r="AR59" s="185">
        <v>1708</v>
      </c>
      <c r="AS59" s="185"/>
      <c r="AT59" s="185"/>
      <c r="AU59" s="185"/>
      <c r="AV59" s="248"/>
      <c r="AW59" s="248"/>
      <c r="AX59" s="248"/>
      <c r="AY59" s="185">
        <v>37547</v>
      </c>
      <c r="AZ59" s="185"/>
      <c r="BA59" s="248"/>
      <c r="BB59" s="248"/>
      <c r="BC59" s="248"/>
      <c r="BD59" s="248"/>
      <c r="BE59" s="185">
        <v>85625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/>
      <c r="D60" s="187"/>
      <c r="E60" s="187">
        <v>21.49</v>
      </c>
      <c r="F60" s="223"/>
      <c r="G60" s="187"/>
      <c r="H60" s="187"/>
      <c r="I60" s="187"/>
      <c r="J60" s="223"/>
      <c r="K60" s="187"/>
      <c r="L60" s="187"/>
      <c r="M60" s="187">
        <v>5.36</v>
      </c>
      <c r="N60" s="187">
        <v>1.33</v>
      </c>
      <c r="O60" s="187"/>
      <c r="P60" s="221">
        <v>8.5399999999999991</v>
      </c>
      <c r="Q60" s="221"/>
      <c r="R60" s="221">
        <v>2</v>
      </c>
      <c r="S60" s="221"/>
      <c r="T60" s="221"/>
      <c r="U60" s="221">
        <v>8.91</v>
      </c>
      <c r="V60" s="221"/>
      <c r="W60" s="221"/>
      <c r="X60" s="221">
        <v>0.69</v>
      </c>
      <c r="Y60" s="221">
        <f>0.21+6.66+0.08+0.67+1.47+0.01</f>
        <v>9.1</v>
      </c>
      <c r="Z60" s="221"/>
      <c r="AA60" s="221"/>
      <c r="AB60" s="221">
        <v>0.28000000000000003</v>
      </c>
      <c r="AC60" s="221">
        <v>0.75</v>
      </c>
      <c r="AD60" s="221"/>
      <c r="AE60" s="221">
        <v>6.19</v>
      </c>
      <c r="AF60" s="221"/>
      <c r="AG60" s="221">
        <v>18.63</v>
      </c>
      <c r="AH60" s="221"/>
      <c r="AI60" s="221"/>
      <c r="AJ60" s="221">
        <v>27.84</v>
      </c>
      <c r="AK60" s="221"/>
      <c r="AL60" s="221"/>
      <c r="AM60" s="221"/>
      <c r="AN60" s="221"/>
      <c r="AO60" s="221"/>
      <c r="AP60" s="221"/>
      <c r="AQ60" s="221"/>
      <c r="AR60" s="221">
        <v>4.38</v>
      </c>
      <c r="AS60" s="221"/>
      <c r="AT60" s="221"/>
      <c r="AU60" s="221"/>
      <c r="AV60" s="221"/>
      <c r="AW60" s="221">
        <v>0.87</v>
      </c>
      <c r="AX60" s="221"/>
      <c r="AY60" s="221">
        <v>6.48</v>
      </c>
      <c r="AZ60" s="221"/>
      <c r="BA60" s="221"/>
      <c r="BB60" s="221"/>
      <c r="BC60" s="221">
        <v>0.37</v>
      </c>
      <c r="BD60" s="221">
        <v>1.04</v>
      </c>
      <c r="BE60" s="221">
        <v>10.74</v>
      </c>
      <c r="BF60" s="221">
        <v>9.41</v>
      </c>
      <c r="BG60" s="221"/>
      <c r="BH60" s="221">
        <v>7.85</v>
      </c>
      <c r="BI60" s="221"/>
      <c r="BJ60" s="221">
        <v>2.67</v>
      </c>
      <c r="BK60" s="221">
        <v>8.99</v>
      </c>
      <c r="BL60" s="221">
        <v>5.52</v>
      </c>
      <c r="BM60" s="221"/>
      <c r="BN60" s="221">
        <f>2.83+6.54+0.14</f>
        <v>9.5100000000000016</v>
      </c>
      <c r="BO60" s="221"/>
      <c r="BP60" s="221"/>
      <c r="BQ60" s="221"/>
      <c r="BR60" s="221"/>
      <c r="BS60" s="221"/>
      <c r="BT60" s="221"/>
      <c r="BU60" s="221"/>
      <c r="BV60" s="221">
        <v>4.33</v>
      </c>
      <c r="BW60" s="221"/>
      <c r="BX60" s="221"/>
      <c r="BY60" s="221">
        <v>2.74</v>
      </c>
      <c r="BZ60" s="221"/>
      <c r="CA60" s="221"/>
      <c r="CB60" s="221"/>
      <c r="CC60" s="221">
        <v>0.85</v>
      </c>
      <c r="CD60" s="249" t="s">
        <v>221</v>
      </c>
      <c r="CE60" s="251">
        <f t="shared" ref="CE60:CE70" si="0">SUM(C60:CD60)</f>
        <v>186.86</v>
      </c>
    </row>
    <row r="61" spans="1:84" ht="12.6" customHeight="1" x14ac:dyDescent="0.25">
      <c r="A61" s="171" t="s">
        <v>235</v>
      </c>
      <c r="B61" s="175"/>
      <c r="C61" s="184"/>
      <c r="D61" s="184"/>
      <c r="E61" s="184">
        <f>987404.51+44518.85+11742.77+6618.97+121169.82+15865.08+319983.28+42667.82+18857.12+29924.38</f>
        <v>1598752.6000000003</v>
      </c>
      <c r="F61" s="185"/>
      <c r="G61" s="184"/>
      <c r="H61" s="184"/>
      <c r="I61" s="185"/>
      <c r="J61" s="185"/>
      <c r="K61" s="185"/>
      <c r="L61" s="185"/>
      <c r="M61" s="184">
        <f>212239.5+1990.5+19189.88+5022.39+21600.68+5697.83</f>
        <v>265740.78000000003</v>
      </c>
      <c r="N61" s="184">
        <f>122904.89+30695.94+3660.78</f>
        <v>157261.60999999999</v>
      </c>
      <c r="O61" s="184"/>
      <c r="P61" s="185">
        <f>329999.76+875.4+496+586.06+35796.95+9419.41+18367.44+79507.61+259.64+5148.46+2296.97+690182.66+17496+1028.89</f>
        <v>1191461.25</v>
      </c>
      <c r="Q61" s="185"/>
      <c r="R61" s="185">
        <v>252474.9</v>
      </c>
      <c r="S61" s="185"/>
      <c r="T61" s="185"/>
      <c r="U61" s="185">
        <f>443251.68+19101.56+1492.28+31150.76+7258.76+11576.21</f>
        <v>513831.25000000006</v>
      </c>
      <c r="V61" s="185"/>
      <c r="W61" s="185"/>
      <c r="X61" s="185">
        <v>47548.1</v>
      </c>
      <c r="Y61" s="185">
        <f>22176.51+215999.3+1519.89+18580.19+91122.13+54292.82+15658.42+5275.01+54459.8+56.75+249.8+140015.4+3571.68+2835.45+772.68+429.22</f>
        <v>627015.05000000005</v>
      </c>
      <c r="Z61" s="185"/>
      <c r="AA61" s="185"/>
      <c r="AB61" s="185">
        <f>33736+74.32</f>
        <v>33810.32</v>
      </c>
      <c r="AC61" s="185">
        <f>541.2+408.45+3428.56+46676.3+298.55+5797.93+210.72+1164.29</f>
        <v>58526.000000000007</v>
      </c>
      <c r="AD61" s="185"/>
      <c r="AE61" s="185">
        <f>334873.71+3878.34+36626.63+10057.56</f>
        <v>385436.24000000005</v>
      </c>
      <c r="AF61" s="185"/>
      <c r="AG61" s="185">
        <f>480497.53+57069.73+48352.55+3104+55226.14+10235.55+900393.91+14230.3</f>
        <v>1569109.7100000002</v>
      </c>
      <c r="AH61" s="185"/>
      <c r="AI61" s="185"/>
      <c r="AJ61" s="185">
        <f>1000815.08+16807.28+81190.04+235.45+1320154.91+18857.12+12571.44+25339.88</f>
        <v>2475971.1999999997</v>
      </c>
      <c r="AK61" s="185"/>
      <c r="AL61" s="185"/>
      <c r="AM61" s="185"/>
      <c r="AN61" s="185"/>
      <c r="AO61" s="185"/>
      <c r="AP61" s="185"/>
      <c r="AQ61" s="185"/>
      <c r="AR61" s="185">
        <f>239755.59+3406.56+7525.17+3067.23+7893.49+292.22+3735.66+4857.47</f>
        <v>270533.38999999996</v>
      </c>
      <c r="AS61" s="185"/>
      <c r="AT61" s="185"/>
      <c r="AU61" s="185"/>
      <c r="AV61" s="185"/>
      <c r="AW61" s="185">
        <f>69930.25+7133.9+1891.74</f>
        <v>78955.89</v>
      </c>
      <c r="AX61" s="185"/>
      <c r="AY61" s="185">
        <f>219328.01+4335.91+25655.16+2807.24+5844.45</f>
        <v>257970.77000000002</v>
      </c>
      <c r="AZ61" s="185"/>
      <c r="BA61" s="185"/>
      <c r="BB61" s="185"/>
      <c r="BC61" s="185">
        <f>9557.08+336.41+94.85+589.4</f>
        <v>10577.74</v>
      </c>
      <c r="BD61" s="185">
        <f>45692.86+475.36+6926.45+1309.29</f>
        <v>54403.96</v>
      </c>
      <c r="BE61" s="185">
        <f>324667.49+5473.51+26114.82+3114.12+30060.3+172.34+9007.45</f>
        <v>398610.03</v>
      </c>
      <c r="BF61" s="185">
        <f>268511.83+3650.74+29650.55+2606.81+7343.91</f>
        <v>311763.83999999997</v>
      </c>
      <c r="BG61" s="185"/>
      <c r="BH61" s="185">
        <f>274115.43+27168.6+17072.48+34785.83+8836.19</f>
        <v>361978.52999999997</v>
      </c>
      <c r="BI61" s="185"/>
      <c r="BJ61" s="185">
        <f>128421.88+4133.52+15635.46+3771.22</f>
        <v>151962.07999999999</v>
      </c>
      <c r="BK61" s="185">
        <f>361352.89+2859.89+36977.98+7913</f>
        <v>409103.76</v>
      </c>
      <c r="BL61" s="185">
        <f>132982.22+16909.64+12977.34+2815.01+3865.58</f>
        <v>169549.78999999998</v>
      </c>
      <c r="BM61" s="185"/>
      <c r="BN61" s="185">
        <f>141393.49+2113.03+21633.17+378+5072.48+535872.84+433.38+45154.78+13742.79+35595.54</f>
        <v>801389.50000000012</v>
      </c>
      <c r="BO61" s="185"/>
      <c r="BP61" s="185"/>
      <c r="BQ61" s="185"/>
      <c r="BR61" s="185"/>
      <c r="BS61" s="185"/>
      <c r="BT61" s="185"/>
      <c r="BU61" s="185"/>
      <c r="BV61" s="185">
        <f>154340.44+49.56+20474.39+4514.16</f>
        <v>179378.55000000002</v>
      </c>
      <c r="BW61" s="185"/>
      <c r="BX61" s="185"/>
      <c r="BY61" s="185">
        <f>232436.27+840.42+39165.03+4681.57</f>
        <v>277123.28999999998</v>
      </c>
      <c r="BZ61" s="185"/>
      <c r="CA61" s="185"/>
      <c r="CB61" s="185"/>
      <c r="CC61" s="185">
        <f>46006.21+233.24+4250.01+203.87</f>
        <v>50693.33</v>
      </c>
      <c r="CD61" s="249" t="s">
        <v>221</v>
      </c>
      <c r="CE61" s="195">
        <f t="shared" si="0"/>
        <v>12960933.459999999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364395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31872</v>
      </c>
      <c r="O62" s="195">
        <f t="shared" si="1"/>
        <v>0</v>
      </c>
      <c r="P62" s="195">
        <f t="shared" si="1"/>
        <v>183266</v>
      </c>
      <c r="Q62" s="195">
        <f t="shared" si="1"/>
        <v>0</v>
      </c>
      <c r="R62" s="195">
        <f t="shared" si="1"/>
        <v>53312</v>
      </c>
      <c r="S62" s="195">
        <f t="shared" si="1"/>
        <v>0</v>
      </c>
      <c r="T62" s="195">
        <f t="shared" si="1"/>
        <v>0</v>
      </c>
      <c r="U62" s="195">
        <f t="shared" si="1"/>
        <v>111172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141624</v>
      </c>
      <c r="Z62" s="195">
        <f t="shared" si="1"/>
        <v>0</v>
      </c>
      <c r="AA62" s="195">
        <f t="shared" si="1"/>
        <v>0</v>
      </c>
      <c r="AB62" s="195">
        <f t="shared" si="1"/>
        <v>2417</v>
      </c>
      <c r="AC62" s="195">
        <f t="shared" si="1"/>
        <v>13312</v>
      </c>
      <c r="AD62" s="195">
        <f t="shared" si="1"/>
        <v>0</v>
      </c>
      <c r="AE62" s="195">
        <f t="shared" si="1"/>
        <v>82291</v>
      </c>
      <c r="AF62" s="195">
        <f t="shared" si="1"/>
        <v>0</v>
      </c>
      <c r="AG62" s="195">
        <f t="shared" si="1"/>
        <v>268095</v>
      </c>
      <c r="AH62" s="195">
        <f t="shared" si="1"/>
        <v>0</v>
      </c>
      <c r="AI62" s="195">
        <f t="shared" si="1"/>
        <v>0</v>
      </c>
      <c r="AJ62" s="195">
        <f t="shared" si="1"/>
        <v>614768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83388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>ROUND(AW47+AW48,0)</f>
        <v>22202</v>
      </c>
      <c r="AX62" s="195">
        <f t="shared" si="1"/>
        <v>0</v>
      </c>
      <c r="AY62" s="195">
        <f>ROUND(AY47+AY48,0)</f>
        <v>83959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2175</v>
      </c>
      <c r="BD62" s="195">
        <f t="shared" si="1"/>
        <v>17122</v>
      </c>
      <c r="BE62" s="195">
        <f t="shared" si="1"/>
        <v>100836</v>
      </c>
      <c r="BF62" s="195">
        <f t="shared" si="1"/>
        <v>96467</v>
      </c>
      <c r="BG62" s="195">
        <f t="shared" si="1"/>
        <v>0</v>
      </c>
      <c r="BH62" s="195">
        <f t="shared" si="1"/>
        <v>92426</v>
      </c>
      <c r="BI62" s="195">
        <f t="shared" si="1"/>
        <v>0</v>
      </c>
      <c r="BJ62" s="195">
        <f t="shared" si="1"/>
        <v>28533</v>
      </c>
      <c r="BK62" s="195">
        <f t="shared" si="1"/>
        <v>109859</v>
      </c>
      <c r="BL62" s="195">
        <f t="shared" si="1"/>
        <v>42374</v>
      </c>
      <c r="BM62" s="195">
        <f t="shared" si="1"/>
        <v>0</v>
      </c>
      <c r="BN62" s="195">
        <f t="shared" si="1"/>
        <v>283021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64041</v>
      </c>
      <c r="BW62" s="195">
        <f t="shared" si="2"/>
        <v>0</v>
      </c>
      <c r="BX62" s="195">
        <f t="shared" si="2"/>
        <v>0</v>
      </c>
      <c r="BY62" s="195">
        <f t="shared" si="2"/>
        <v>54714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6232</v>
      </c>
      <c r="CD62" s="249" t="s">
        <v>221</v>
      </c>
      <c r="CE62" s="195">
        <f t="shared" si="0"/>
        <v>2953873</v>
      </c>
      <c r="CF62" s="252"/>
    </row>
    <row r="63" spans="1:84" ht="12.6" customHeight="1" x14ac:dyDescent="0.25">
      <c r="A63" s="171" t="s">
        <v>236</v>
      </c>
      <c r="B63" s="175"/>
      <c r="C63" s="184"/>
      <c r="D63" s="184"/>
      <c r="E63" s="184">
        <v>577307.55000000005</v>
      </c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>
        <f>27372.9+60800</f>
        <v>88172.9</v>
      </c>
      <c r="Q63" s="185"/>
      <c r="R63" s="185"/>
      <c r="S63" s="185"/>
      <c r="T63" s="185"/>
      <c r="U63" s="185">
        <f>13096-107.3</f>
        <v>12988.7</v>
      </c>
      <c r="V63" s="185"/>
      <c r="W63" s="185">
        <v>49434.14</v>
      </c>
      <c r="X63" s="185">
        <v>116126.32</v>
      </c>
      <c r="Y63" s="185">
        <f>40775+3154+36654.98+61407.34+4250+74239.49+311.56</f>
        <v>220792.37</v>
      </c>
      <c r="Z63" s="185"/>
      <c r="AA63" s="185"/>
      <c r="AB63" s="185"/>
      <c r="AC63" s="185"/>
      <c r="AD63" s="185"/>
      <c r="AE63" s="185"/>
      <c r="AF63" s="185"/>
      <c r="AG63" s="185">
        <v>238133.83</v>
      </c>
      <c r="AH63" s="185"/>
      <c r="AI63" s="185"/>
      <c r="AJ63" s="185">
        <v>13024.43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9" t="s">
        <v>221</v>
      </c>
      <c r="CE63" s="195">
        <f t="shared" si="0"/>
        <v>1315980.24</v>
      </c>
      <c r="CF63" s="252"/>
    </row>
    <row r="64" spans="1:84" ht="12.6" customHeight="1" x14ac:dyDescent="0.25">
      <c r="A64" s="171" t="s">
        <v>237</v>
      </c>
      <c r="B64" s="175"/>
      <c r="C64" s="184"/>
      <c r="D64" s="184"/>
      <c r="E64" s="185">
        <f>41280.51+961.03+5067.45+9181.69+7588.46+17926.07+311.76+250+8182.36+2912.26+3525.36+4786.73</f>
        <v>101973.67999999998</v>
      </c>
      <c r="F64" s="185"/>
      <c r="G64" s="184"/>
      <c r="H64" s="184"/>
      <c r="I64" s="185"/>
      <c r="J64" s="185"/>
      <c r="K64" s="185"/>
      <c r="L64" s="185"/>
      <c r="M64" s="184">
        <f>944.97+31617.87+8519.97+282.18</f>
        <v>41364.99</v>
      </c>
      <c r="N64" s="184">
        <v>1097.57</v>
      </c>
      <c r="O64" s="184"/>
      <c r="P64" s="185">
        <f>200928.34+2050.68+1853.14+2983.97+15491.77+579.43+492.3+10470.49+13236.45+1977.04+8.75+2379.98+24002.83+595.73+389.63+362.23</f>
        <v>277802.75999999995</v>
      </c>
      <c r="Q64" s="185"/>
      <c r="R64" s="185">
        <f>7971.43+5902.5+1163.97</f>
        <v>15037.9</v>
      </c>
      <c r="S64" s="185"/>
      <c r="T64" s="185"/>
      <c r="U64" s="185">
        <f>13434.75+1.6+2932.2+8415.27+80.62+4519.77+2863.81+280570.12+77146.62+6894.47+6350.64+9092.54+21846</f>
        <v>434148.41</v>
      </c>
      <c r="V64" s="185"/>
      <c r="W64" s="185"/>
      <c r="X64" s="185">
        <f>960+7903.36+4691.64+243.44</f>
        <v>13798.44</v>
      </c>
      <c r="Y64" s="185">
        <f>14771.96+1405.12+5.16+1587.11+4296.73+2734.89+5783.87+33.06+871.83</f>
        <v>31489.73</v>
      </c>
      <c r="Z64" s="185"/>
      <c r="AA64" s="185"/>
      <c r="AB64" s="185">
        <f>287.34+114687.39+1437.77+2260.59+1284.63</f>
        <v>119957.72</v>
      </c>
      <c r="AC64" s="185">
        <f>4556.77+565.8+4178.51</f>
        <v>9301.0800000000017</v>
      </c>
      <c r="AD64" s="185"/>
      <c r="AE64" s="185">
        <f>4552.01+262.05+2513.92+6238.74+370.73+195.48</f>
        <v>14132.93</v>
      </c>
      <c r="AF64" s="185"/>
      <c r="AG64" s="185">
        <f>43086.96+1003.57+8419.76+1266.6+11378.38+4732.11+14.92+11132.09+747.12</f>
        <v>81781.50999999998</v>
      </c>
      <c r="AH64" s="185"/>
      <c r="AI64" s="185"/>
      <c r="AJ64" s="185">
        <f>43959.99+59094.87+1272.05+16028.35+23795.4+2098.42+250+1370.44</f>
        <v>147869.52000000002</v>
      </c>
      <c r="AK64" s="185"/>
      <c r="AL64" s="185"/>
      <c r="AM64" s="185"/>
      <c r="AN64" s="185"/>
      <c r="AO64" s="185"/>
      <c r="AP64" s="185"/>
      <c r="AQ64" s="185"/>
      <c r="AR64" s="185">
        <f>4621.19+295.14+14.21+3183.48+1372.32+30.86+300.5+321.78</f>
        <v>10139.480000000001</v>
      </c>
      <c r="AS64" s="185"/>
      <c r="AT64" s="185"/>
      <c r="AU64" s="185"/>
      <c r="AV64" s="185"/>
      <c r="AW64" s="185">
        <f>423.02+1171.76+856.13</f>
        <v>2450.91</v>
      </c>
      <c r="AX64" s="185"/>
      <c r="AY64" s="185">
        <f>103.42+406.25+4344.55+124792.61+3895.24+202.16+24196.95</f>
        <v>157941.18000000002</v>
      </c>
      <c r="AZ64" s="185"/>
      <c r="BA64" s="185"/>
      <c r="BB64" s="185"/>
      <c r="BC64" s="185">
        <v>2750.11</v>
      </c>
      <c r="BD64" s="185">
        <f>1732.32+11.77+310.68</f>
        <v>2054.77</v>
      </c>
      <c r="BE64" s="185">
        <f>103.46+1769.21+17442.51+250.48+250+1321.51+4667.75+500.69+1965.86+120+32962.8+1173.4+944.93</f>
        <v>63472.600000000006</v>
      </c>
      <c r="BF64" s="185">
        <f>397.51+379.1+1504.74+1022.12+37254.91</f>
        <v>40558.380000000005</v>
      </c>
      <c r="BG64" s="185"/>
      <c r="BH64" s="185">
        <f>31.81+1551.01+32490.05+250+3580.29</f>
        <v>37903.160000000003</v>
      </c>
      <c r="BI64" s="185"/>
      <c r="BJ64" s="185">
        <f>15.17+3030.93+382.89</f>
        <v>3428.99</v>
      </c>
      <c r="BK64" s="185">
        <f>291.47+7698.73+1662.84+376.25</f>
        <v>10029.289999999999</v>
      </c>
      <c r="BL64" s="185">
        <f>280.33+6581.75+989.68+597.78+1628.49</f>
        <v>10078.030000000001</v>
      </c>
      <c r="BM64" s="185"/>
      <c r="BN64" s="185">
        <f>5582.38+4641.31+1282.35+250+1356.56+7790.88+6402.94+2004.81+7219.71+2644.75+665.12+500+1468.9+8089.08+2246.13+691.25+1250</f>
        <v>54086.170000000006</v>
      </c>
      <c r="BO64" s="185"/>
      <c r="BP64" s="185"/>
      <c r="BQ64" s="185"/>
      <c r="BR64" s="185"/>
      <c r="BS64" s="185"/>
      <c r="BT64" s="185"/>
      <c r="BU64" s="185"/>
      <c r="BV64" s="185">
        <f>29.81+3364.45</f>
        <v>3394.2599999999998</v>
      </c>
      <c r="BW64" s="185"/>
      <c r="BX64" s="185"/>
      <c r="BY64" s="185">
        <v>413.33</v>
      </c>
      <c r="BZ64" s="185"/>
      <c r="CA64" s="185"/>
      <c r="CB64" s="185"/>
      <c r="CC64" s="185">
        <f>459.73+1010.06+4233.28+847.98+1081.58</f>
        <v>7632.6299999999992</v>
      </c>
      <c r="CD64" s="249" t="s">
        <v>221</v>
      </c>
      <c r="CE64" s="195">
        <f t="shared" si="0"/>
        <v>1696089.5299999998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>
        <f>596.2+6312.62</f>
        <v>6908.82</v>
      </c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>
        <v>650</v>
      </c>
      <c r="X65" s="185">
        <v>1625</v>
      </c>
      <c r="Y65" s="185">
        <f>650+1787.5+650+1300</f>
        <v>4387.5</v>
      </c>
      <c r="Z65" s="185"/>
      <c r="AA65" s="185"/>
      <c r="AB65" s="185"/>
      <c r="AC65" s="185"/>
      <c r="AD65" s="185"/>
      <c r="AE65" s="185"/>
      <c r="AF65" s="185"/>
      <c r="AG65" s="185">
        <f>314.17</f>
        <v>314.17</v>
      </c>
      <c r="AH65" s="185"/>
      <c r="AI65" s="185"/>
      <c r="AJ65" s="185">
        <f>24984.77+5626.93+12676.43+561.08</f>
        <v>43849.210000000006</v>
      </c>
      <c r="AK65" s="185"/>
      <c r="AL65" s="185"/>
      <c r="AM65" s="185"/>
      <c r="AN65" s="185"/>
      <c r="AO65" s="185"/>
      <c r="AP65" s="185"/>
      <c r="AQ65" s="185"/>
      <c r="AR65" s="185">
        <v>1007.47</v>
      </c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f>135753.02+26283.35+18101.58+14237.72+37439.94+4172.45+888.32</f>
        <v>236876.38000000003</v>
      </c>
      <c r="BF65" s="185">
        <v>323.27</v>
      </c>
      <c r="BG65" s="185"/>
      <c r="BH65" s="185"/>
      <c r="BI65" s="185"/>
      <c r="BJ65" s="185"/>
      <c r="BK65" s="185"/>
      <c r="BL65" s="185" t="s">
        <v>1267</v>
      </c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9" t="s">
        <v>221</v>
      </c>
      <c r="CE65" s="195">
        <f t="shared" si="0"/>
        <v>295941.82000000007</v>
      </c>
      <c r="CF65" s="252"/>
    </row>
    <row r="66" spans="1:84" ht="12.6" customHeight="1" x14ac:dyDescent="0.25">
      <c r="A66" s="171" t="s">
        <v>239</v>
      </c>
      <c r="B66" s="175"/>
      <c r="C66" s="184"/>
      <c r="D66" s="184"/>
      <c r="E66" s="184">
        <f>63000+46164.37+2137.01+910</f>
        <v>112211.37999999999</v>
      </c>
      <c r="F66" s="184"/>
      <c r="G66" s="184"/>
      <c r="H66" s="184"/>
      <c r="I66" s="184"/>
      <c r="J66" s="184"/>
      <c r="K66" s="185"/>
      <c r="L66" s="185"/>
      <c r="M66" s="184">
        <f>144.12</f>
        <v>144.12</v>
      </c>
      <c r="N66" s="184"/>
      <c r="O66" s="185"/>
      <c r="P66" s="185">
        <f>21932.65+2266.73+11864.42</f>
        <v>36063.800000000003</v>
      </c>
      <c r="Q66" s="185"/>
      <c r="R66" s="185"/>
      <c r="S66" s="184"/>
      <c r="T66" s="184"/>
      <c r="U66" s="185">
        <f>12032.38-0.03+2581.8+118673.1</f>
        <v>133287.25</v>
      </c>
      <c r="V66" s="185"/>
      <c r="W66" s="185">
        <v>1435.8</v>
      </c>
      <c r="X66" s="185">
        <f>1342.12+83666.04+8614.68</f>
        <v>93622.84</v>
      </c>
      <c r="Y66" s="185">
        <f>1435.8+650+62960.68+4.57+8814.52+1435.8+1787.61+20485.53+2871.6+26271.93+4307.28+3660.36</f>
        <v>134685.68</v>
      </c>
      <c r="Z66" s="185"/>
      <c r="AA66" s="185"/>
      <c r="AB66" s="185">
        <f>172009.56</f>
        <v>172009.56</v>
      </c>
      <c r="AC66" s="185">
        <v>627.23</v>
      </c>
      <c r="AD66" s="185"/>
      <c r="AE66" s="185">
        <f>544.49+119762.5</f>
        <v>120306.99</v>
      </c>
      <c r="AF66" s="185"/>
      <c r="AG66" s="185">
        <f>5209.82+3134.43</f>
        <v>8344.25</v>
      </c>
      <c r="AH66" s="185"/>
      <c r="AI66" s="185"/>
      <c r="AJ66" s="185">
        <f>1958.14+28850.45+1404.11+102264.89+203.68</f>
        <v>134681.26999999999</v>
      </c>
      <c r="AK66" s="185"/>
      <c r="AL66" s="185"/>
      <c r="AM66" s="185"/>
      <c r="AN66" s="185"/>
      <c r="AO66" s="185"/>
      <c r="AP66" s="185"/>
      <c r="AQ66" s="185"/>
      <c r="AR66" s="185">
        <f>26032.44</f>
        <v>26032.44</v>
      </c>
      <c r="AS66" s="185"/>
      <c r="AT66" s="185"/>
      <c r="AU66" s="185"/>
      <c r="AV66" s="185"/>
      <c r="AW66" s="185">
        <v>116.51</v>
      </c>
      <c r="AX66" s="185"/>
      <c r="AY66" s="185"/>
      <c r="AZ66" s="185"/>
      <c r="BA66" s="185"/>
      <c r="BB66" s="185"/>
      <c r="BC66" s="185"/>
      <c r="BD66" s="185"/>
      <c r="BE66" s="185">
        <f>10206.49+37166.34+21962.32</f>
        <v>69335.149999999994</v>
      </c>
      <c r="BF66" s="185">
        <v>100166.37</v>
      </c>
      <c r="BG66" s="185"/>
      <c r="BH66" s="185">
        <f>380795.21+8795.7+3400</f>
        <v>392990.91000000003</v>
      </c>
      <c r="BI66" s="185"/>
      <c r="BJ66" s="185">
        <f>529.3+95355.25</f>
        <v>95884.55</v>
      </c>
      <c r="BK66" s="185">
        <f>32836.71+213971.64+755</f>
        <v>247563.35</v>
      </c>
      <c r="BL66" s="185">
        <f>911.91</f>
        <v>911.91</v>
      </c>
      <c r="BM66" s="185"/>
      <c r="BN66" s="185">
        <f>4243.73+2993.25+21761.04+36149+93641.59+95904.62+40757.8</f>
        <v>295451.02999999997</v>
      </c>
      <c r="BO66" s="185"/>
      <c r="BP66" s="185"/>
      <c r="BQ66" s="185"/>
      <c r="BR66" s="185"/>
      <c r="BS66" s="185"/>
      <c r="BT66" s="185"/>
      <c r="BU66" s="185"/>
      <c r="BV66" s="185">
        <f>1096.13+19507.57</f>
        <v>20603.7</v>
      </c>
      <c r="BW66" s="185"/>
      <c r="BX66" s="185"/>
      <c r="BY66" s="185"/>
      <c r="BZ66" s="185"/>
      <c r="CA66" s="185"/>
      <c r="CB66" s="185"/>
      <c r="CC66" s="185"/>
      <c r="CD66" s="249" t="s">
        <v>221</v>
      </c>
      <c r="CE66" s="195">
        <f t="shared" si="0"/>
        <v>2196476.09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0</v>
      </c>
      <c r="AC67" s="195">
        <f t="shared" si="3"/>
        <v>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190272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0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1006954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1197226</v>
      </c>
      <c r="CF67" s="252"/>
    </row>
    <row r="68" spans="1:84" ht="12.6" customHeight="1" x14ac:dyDescent="0.25">
      <c r="A68" s="171" t="s">
        <v>240</v>
      </c>
      <c r="B68" s="175"/>
      <c r="C68" s="184"/>
      <c r="D68" s="184"/>
      <c r="E68" s="184">
        <v>53783.76</v>
      </c>
      <c r="F68" s="184"/>
      <c r="G68" s="184"/>
      <c r="H68" s="184"/>
      <c r="I68" s="184"/>
      <c r="J68" s="184"/>
      <c r="K68" s="185"/>
      <c r="L68" s="185"/>
      <c r="M68" s="184">
        <v>9292.51</v>
      </c>
      <c r="N68" s="184"/>
      <c r="O68" s="184"/>
      <c r="P68" s="185">
        <v>2146.1999999999998</v>
      </c>
      <c r="Q68" s="185"/>
      <c r="R68" s="185"/>
      <c r="S68" s="185"/>
      <c r="T68" s="185"/>
      <c r="U68" s="185">
        <v>20983.06</v>
      </c>
      <c r="V68" s="185"/>
      <c r="W68" s="185">
        <v>245405.89</v>
      </c>
      <c r="X68" s="185"/>
      <c r="Y68" s="185"/>
      <c r="Z68" s="185"/>
      <c r="AA68" s="185"/>
      <c r="AB68" s="185">
        <v>9241.91</v>
      </c>
      <c r="AC68" s="185"/>
      <c r="AD68" s="185"/>
      <c r="AE68" s="185"/>
      <c r="AF68" s="185"/>
      <c r="AG68" s="185">
        <v>17408.57</v>
      </c>
      <c r="AH68" s="185"/>
      <c r="AI68" s="185"/>
      <c r="AJ68" s="185">
        <v>6193.79</v>
      </c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>
        <f>173.38+486.85</f>
        <v>660.23</v>
      </c>
      <c r="BF68" s="185"/>
      <c r="BG68" s="185"/>
      <c r="BH68" s="185"/>
      <c r="BI68" s="185"/>
      <c r="BJ68" s="185">
        <v>3380.52</v>
      </c>
      <c r="BK68" s="185">
        <v>1619.07</v>
      </c>
      <c r="BL68" s="185">
        <v>1619.06</v>
      </c>
      <c r="BM68" s="185"/>
      <c r="BN68" s="185">
        <f>232.2+12062.54+2043.94</f>
        <v>14338.680000000002</v>
      </c>
      <c r="BO68" s="185"/>
      <c r="BP68" s="185"/>
      <c r="BQ68" s="185"/>
      <c r="BR68" s="185"/>
      <c r="BS68" s="185"/>
      <c r="BT68" s="185"/>
      <c r="BU68" s="185"/>
      <c r="BV68" s="185">
        <v>1623.65</v>
      </c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387696.9</v>
      </c>
      <c r="CF68" s="252"/>
    </row>
    <row r="69" spans="1:84" ht="12.6" customHeight="1" x14ac:dyDescent="0.25">
      <c r="A69" s="171" t="s">
        <v>241</v>
      </c>
      <c r="B69" s="175"/>
      <c r="C69" s="184"/>
      <c r="D69" s="184"/>
      <c r="E69" s="185">
        <f>314557.27+6407.61+5641.8+7634.98+1271.35+1002.13+1071.33+1886.04+73.12+4000+166.92+9.7+2671.16+4149.98</f>
        <v>350543.3899999999</v>
      </c>
      <c r="F69" s="185"/>
      <c r="G69" s="184"/>
      <c r="H69" s="184"/>
      <c r="I69" s="185"/>
      <c r="J69" s="185"/>
      <c r="K69" s="185"/>
      <c r="L69" s="185"/>
      <c r="M69" s="184">
        <f>103661.59+79+18+118.81+1420+1099.26+153.02+3000+18614.51</f>
        <v>128164.18999999999</v>
      </c>
      <c r="N69" s="184"/>
      <c r="O69" s="184"/>
      <c r="P69" s="185">
        <f>70357.81+374.26+375+64+37.06+160+364.77+4926.84+1292</f>
        <v>77951.739999999991</v>
      </c>
      <c r="Q69" s="185"/>
      <c r="R69" s="224">
        <f>94.03+5000+3620+785</f>
        <v>9499.0299999999988</v>
      </c>
      <c r="S69" s="185"/>
      <c r="T69" s="184"/>
      <c r="U69" s="185">
        <f>211906+1374.5+1118.15+166+123.17+545.2+526.51+3000+1655.1</f>
        <v>220414.63000000003</v>
      </c>
      <c r="V69" s="185"/>
      <c r="W69" s="184"/>
      <c r="X69" s="185"/>
      <c r="Y69" s="185">
        <f>244.16+760.55+6.7+76.52+316+16+2426.59+680+15+76.52</f>
        <v>4618.0400000000009</v>
      </c>
      <c r="Z69" s="185"/>
      <c r="AA69" s="185"/>
      <c r="AB69" s="185">
        <f>289.74+881.25+113.36+1185+38.69+68.75</f>
        <v>2576.79</v>
      </c>
      <c r="AC69" s="185">
        <f>120.08+165+67+105.08</f>
        <v>457.15999999999997</v>
      </c>
      <c r="AD69" s="185"/>
      <c r="AE69" s="185">
        <f>2464.82+1150+10.86+10000</f>
        <v>13625.68</v>
      </c>
      <c r="AF69" s="185"/>
      <c r="AG69" s="185">
        <f>237.82+750+180+238.06+41.06+24500.02+2224.99+42.5+2412.98+2945</f>
        <v>33572.429999999993</v>
      </c>
      <c r="AH69" s="185"/>
      <c r="AI69" s="185"/>
      <c r="AJ69" s="185">
        <f>129.55+3488.14+3018+1636.31+1853.52+1060+8132.82+5221.14+20000+340.82+247.43+375+3291.92+1875+375+1959.15+1046.09+4198.5+1706+1214</f>
        <v>61168.389999999992</v>
      </c>
      <c r="AK69" s="185"/>
      <c r="AL69" s="185"/>
      <c r="AM69" s="185"/>
      <c r="AN69" s="185"/>
      <c r="AO69" s="184"/>
      <c r="AP69" s="185"/>
      <c r="AQ69" s="184"/>
      <c r="AR69" s="184">
        <f>15+76.3+5302.64</f>
        <v>5393.9400000000005</v>
      </c>
      <c r="AS69" s="184"/>
      <c r="AT69" s="184"/>
      <c r="AU69" s="185"/>
      <c r="AV69" s="185"/>
      <c r="AW69" s="185">
        <f>7861.37+245.1+178.44</f>
        <v>8284.91</v>
      </c>
      <c r="AX69" s="185"/>
      <c r="AY69" s="185">
        <f>9905.12+396+44+285.42</f>
        <v>10630.54</v>
      </c>
      <c r="AZ69" s="185"/>
      <c r="BA69" s="185"/>
      <c r="BB69" s="185"/>
      <c r="BC69" s="185">
        <v>46.74</v>
      </c>
      <c r="BD69" s="185"/>
      <c r="BE69" s="185">
        <f>37269.28+1575.35+495.36+1883.44+2581.43+177+122.08+1799.8+50+1.36+63</f>
        <v>46018.100000000006</v>
      </c>
      <c r="BF69" s="185">
        <f>206.08+344+15+74.78</f>
        <v>639.86</v>
      </c>
      <c r="BG69" s="185"/>
      <c r="BH69" s="224">
        <f>7800.48+2195+1279.94+1236.91+0.94+1075</f>
        <v>13588.27</v>
      </c>
      <c r="BI69" s="185"/>
      <c r="BJ69" s="185">
        <f>568.6+395+38+219+1396.4</f>
        <v>2617</v>
      </c>
      <c r="BK69" s="185">
        <f>57487.85+946.8+750+182+146.14+4166.38+21655.76</f>
        <v>85334.93</v>
      </c>
      <c r="BL69" s="185">
        <f>650+108+856.74+238.75</f>
        <v>1853.49</v>
      </c>
      <c r="BM69" s="185"/>
      <c r="BN69" s="185">
        <f>1487.93+1853.37+249+464.34+309+4620+33747.4+144.97+9654.12+9080.28+181.66+17852.7+8131.55+7200.22+3811.95+1576.71+3985.39+4945.68+59607.4+115368.42+29856.01+107772.84+7382.51+1874.29+972.66+7974.57+414.82+335+1665.54+68368.38+5844.46+105.53+4269.9+3530.53+2398+1139.05+49.81+542.11+291209.15</f>
        <v>819977.25000000023</v>
      </c>
      <c r="BO69" s="185"/>
      <c r="BP69" s="185"/>
      <c r="BQ69" s="185"/>
      <c r="BR69" s="185"/>
      <c r="BS69" s="185"/>
      <c r="BT69" s="185"/>
      <c r="BU69" s="185"/>
      <c r="BV69" s="185">
        <f>389.98+112+75.76+759.07</f>
        <v>1336.81</v>
      </c>
      <c r="BW69" s="185"/>
      <c r="BX69" s="185"/>
      <c r="BY69" s="185"/>
      <c r="BZ69" s="185"/>
      <c r="CA69" s="185"/>
      <c r="CB69" s="185"/>
      <c r="CC69" s="185">
        <f>151.04+500+60.93+474</f>
        <v>1185.9699999999998</v>
      </c>
      <c r="CD69" s="188"/>
      <c r="CE69" s="195">
        <f t="shared" si="0"/>
        <v>1899499.2800000003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3165876.1799999997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444706.59</v>
      </c>
      <c r="N71" s="195">
        <f t="shared" si="5"/>
        <v>190231.18</v>
      </c>
      <c r="O71" s="195">
        <f t="shared" si="5"/>
        <v>0</v>
      </c>
      <c r="P71" s="195">
        <f t="shared" si="5"/>
        <v>1856864.65</v>
      </c>
      <c r="Q71" s="195">
        <f t="shared" si="5"/>
        <v>0</v>
      </c>
      <c r="R71" s="195">
        <f t="shared" si="5"/>
        <v>330323.83000000007</v>
      </c>
      <c r="S71" s="195">
        <f t="shared" si="5"/>
        <v>0</v>
      </c>
      <c r="T71" s="195">
        <f t="shared" si="5"/>
        <v>0</v>
      </c>
      <c r="U71" s="195">
        <f t="shared" si="5"/>
        <v>1446825.3</v>
      </c>
      <c r="V71" s="195">
        <f t="shared" si="5"/>
        <v>0</v>
      </c>
      <c r="W71" s="195">
        <f t="shared" si="5"/>
        <v>296925.83</v>
      </c>
      <c r="X71" s="195">
        <f t="shared" si="5"/>
        <v>272720.7</v>
      </c>
      <c r="Y71" s="195">
        <f t="shared" si="5"/>
        <v>1164612.3700000001</v>
      </c>
      <c r="Z71" s="195">
        <f t="shared" si="5"/>
        <v>0</v>
      </c>
      <c r="AA71" s="195">
        <f t="shared" si="5"/>
        <v>0</v>
      </c>
      <c r="AB71" s="195">
        <f t="shared" si="5"/>
        <v>340013.29999999993</v>
      </c>
      <c r="AC71" s="195">
        <f t="shared" si="5"/>
        <v>82223.47</v>
      </c>
      <c r="AD71" s="195">
        <f t="shared" si="5"/>
        <v>0</v>
      </c>
      <c r="AE71" s="195">
        <f t="shared" si="5"/>
        <v>615792.84000000008</v>
      </c>
      <c r="AF71" s="195">
        <f t="shared" si="5"/>
        <v>0</v>
      </c>
      <c r="AG71" s="195">
        <f t="shared" si="5"/>
        <v>2216759.4700000002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3687797.81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396494.71999999991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112010.22</v>
      </c>
      <c r="AX71" s="195">
        <f t="shared" si="6"/>
        <v>0</v>
      </c>
      <c r="AY71" s="195">
        <f t="shared" si="6"/>
        <v>510501.49000000005</v>
      </c>
      <c r="AZ71" s="195">
        <f t="shared" si="6"/>
        <v>0</v>
      </c>
      <c r="BA71" s="195">
        <f t="shared" si="6"/>
        <v>0</v>
      </c>
      <c r="BB71" s="195">
        <f t="shared" si="6"/>
        <v>0</v>
      </c>
      <c r="BC71" s="195">
        <f t="shared" si="6"/>
        <v>15549.59</v>
      </c>
      <c r="BD71" s="195">
        <f t="shared" si="6"/>
        <v>73580.73</v>
      </c>
      <c r="BE71" s="195">
        <f t="shared" si="6"/>
        <v>915808.49</v>
      </c>
      <c r="BF71" s="195">
        <f t="shared" si="6"/>
        <v>549918.71999999997</v>
      </c>
      <c r="BG71" s="195">
        <f t="shared" si="6"/>
        <v>0</v>
      </c>
      <c r="BH71" s="195">
        <f t="shared" si="6"/>
        <v>898886.87</v>
      </c>
      <c r="BI71" s="195">
        <f t="shared" si="6"/>
        <v>0</v>
      </c>
      <c r="BJ71" s="195">
        <f t="shared" si="6"/>
        <v>285806.14</v>
      </c>
      <c r="BK71" s="195">
        <f t="shared" si="6"/>
        <v>863509.39999999991</v>
      </c>
      <c r="BL71" s="195">
        <f t="shared" si="6"/>
        <v>226386.27999999997</v>
      </c>
      <c r="BM71" s="195">
        <f t="shared" si="6"/>
        <v>0</v>
      </c>
      <c r="BN71" s="195">
        <f t="shared" si="6"/>
        <v>3275217.6300000008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270377.97000000003</v>
      </c>
      <c r="BW71" s="195">
        <f t="shared" si="7"/>
        <v>0</v>
      </c>
      <c r="BX71" s="195">
        <f t="shared" si="7"/>
        <v>0</v>
      </c>
      <c r="BY71" s="195">
        <f t="shared" si="7"/>
        <v>332250.62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65743.929999999993</v>
      </c>
      <c r="CD71" s="245">
        <f>CD69-CD70</f>
        <v>0</v>
      </c>
      <c r="CE71" s="195">
        <f>SUM(CE61:CE69)-CE70</f>
        <v>24903716.32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/>
      <c r="D73" s="184"/>
      <c r="E73" s="185">
        <f>10242+264822+726023+10001+279526</f>
        <v>1290614</v>
      </c>
      <c r="F73" s="185"/>
      <c r="G73" s="184"/>
      <c r="H73" s="184"/>
      <c r="I73" s="185"/>
      <c r="J73" s="185"/>
      <c r="K73" s="185"/>
      <c r="L73" s="185"/>
      <c r="M73" s="184"/>
      <c r="N73" s="184"/>
      <c r="O73" s="184"/>
      <c r="P73" s="185">
        <f>2250+198705+20448+76966</f>
        <v>298369</v>
      </c>
      <c r="Q73" s="185"/>
      <c r="R73" s="185">
        <v>32783</v>
      </c>
      <c r="S73" s="185"/>
      <c r="T73" s="185"/>
      <c r="U73" s="185">
        <f>208760.2+6999</f>
        <v>215759.2</v>
      </c>
      <c r="V73" s="185"/>
      <c r="W73" s="185">
        <v>14688</v>
      </c>
      <c r="X73" s="185">
        <v>102390</v>
      </c>
      <c r="Y73" s="185">
        <f>95264+31348+16284+5256</f>
        <v>148152</v>
      </c>
      <c r="Z73" s="185"/>
      <c r="AA73" s="185"/>
      <c r="AB73" s="185">
        <f>74317+193453.5</f>
        <v>267770.5</v>
      </c>
      <c r="AC73" s="185">
        <v>32633</v>
      </c>
      <c r="AD73" s="185"/>
      <c r="AE73" s="185">
        <f>135834+80565</f>
        <v>216399</v>
      </c>
      <c r="AF73" s="185"/>
      <c r="AG73" s="185">
        <v>85838</v>
      </c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2705395.7</v>
      </c>
      <c r="CF73" s="252"/>
    </row>
    <row r="74" spans="1:84" ht="12.6" customHeight="1" x14ac:dyDescent="0.25">
      <c r="A74" s="171" t="s">
        <v>246</v>
      </c>
      <c r="B74" s="175"/>
      <c r="C74" s="184"/>
      <c r="D74" s="184"/>
      <c r="E74" s="185">
        <f>573482.25+326668+164543</f>
        <v>1064693.25</v>
      </c>
      <c r="F74" s="185"/>
      <c r="G74" s="184"/>
      <c r="H74" s="184"/>
      <c r="I74" s="184"/>
      <c r="J74" s="185"/>
      <c r="K74" s="185"/>
      <c r="L74" s="185"/>
      <c r="M74" s="184">
        <f>521369.57+683656</f>
        <v>1205025.57</v>
      </c>
      <c r="N74" s="184">
        <v>253405</v>
      </c>
      <c r="O74" s="184"/>
      <c r="P74" s="185">
        <f>585045+2135265.3+312575+481711.7+851178</f>
        <v>4365775</v>
      </c>
      <c r="Q74" s="185"/>
      <c r="R74" s="185">
        <v>434306</v>
      </c>
      <c r="S74" s="185"/>
      <c r="T74" s="185"/>
      <c r="U74" s="185">
        <f>4619790.56+106866</f>
        <v>4726656.5599999996</v>
      </c>
      <c r="V74" s="185"/>
      <c r="W74" s="185">
        <v>1477401</v>
      </c>
      <c r="X74" s="185">
        <v>4008270</v>
      </c>
      <c r="Y74" s="185">
        <f>691064+1527330+77495+413093+1056291.83+227207+11724</f>
        <v>4004204.83</v>
      </c>
      <c r="Z74" s="185"/>
      <c r="AA74" s="185"/>
      <c r="AB74" s="185">
        <f>260689+692567.4</f>
        <v>953256.4</v>
      </c>
      <c r="AC74" s="185">
        <f>5734.94+22847+121770.58</f>
        <v>150352.51999999999</v>
      </c>
      <c r="AD74" s="185"/>
      <c r="AE74" s="185">
        <f>1077776.14+35209.18</f>
        <v>1112985.3199999998</v>
      </c>
      <c r="AF74" s="185"/>
      <c r="AG74" s="185">
        <f>7419676.97+3449487</f>
        <v>10869163.969999999</v>
      </c>
      <c r="AH74" s="185"/>
      <c r="AI74" s="185"/>
      <c r="AJ74" s="185">
        <f>3099994.23+109158+1884624.78</f>
        <v>5093777.01</v>
      </c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>
        <f>82552+10725</f>
        <v>93277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39812549.43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2355307.25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1205025.57</v>
      </c>
      <c r="N75" s="195">
        <f t="shared" si="9"/>
        <v>253405</v>
      </c>
      <c r="O75" s="195">
        <f t="shared" si="9"/>
        <v>0</v>
      </c>
      <c r="P75" s="195">
        <f t="shared" si="9"/>
        <v>4664144</v>
      </c>
      <c r="Q75" s="195">
        <f t="shared" si="9"/>
        <v>0</v>
      </c>
      <c r="R75" s="195">
        <f t="shared" si="9"/>
        <v>467089</v>
      </c>
      <c r="S75" s="195">
        <f t="shared" si="9"/>
        <v>0</v>
      </c>
      <c r="T75" s="195">
        <f t="shared" si="9"/>
        <v>0</v>
      </c>
      <c r="U75" s="195">
        <f t="shared" si="9"/>
        <v>4942415.76</v>
      </c>
      <c r="V75" s="195">
        <f t="shared" si="9"/>
        <v>0</v>
      </c>
      <c r="W75" s="195">
        <f t="shared" si="9"/>
        <v>1492089</v>
      </c>
      <c r="X75" s="195">
        <f t="shared" si="9"/>
        <v>4110660</v>
      </c>
      <c r="Y75" s="195">
        <f t="shared" si="9"/>
        <v>4152356.83</v>
      </c>
      <c r="Z75" s="195">
        <f t="shared" si="9"/>
        <v>0</v>
      </c>
      <c r="AA75" s="195">
        <f t="shared" si="9"/>
        <v>0</v>
      </c>
      <c r="AB75" s="195">
        <f t="shared" si="9"/>
        <v>1221026.8999999999</v>
      </c>
      <c r="AC75" s="195">
        <f t="shared" si="9"/>
        <v>182985.52</v>
      </c>
      <c r="AD75" s="195">
        <f t="shared" si="9"/>
        <v>0</v>
      </c>
      <c r="AE75" s="195">
        <f t="shared" si="9"/>
        <v>1329384.3199999998</v>
      </c>
      <c r="AF75" s="195">
        <f t="shared" si="9"/>
        <v>0</v>
      </c>
      <c r="AG75" s="195">
        <f t="shared" si="9"/>
        <v>10955001.969999999</v>
      </c>
      <c r="AH75" s="195">
        <f t="shared" si="9"/>
        <v>0</v>
      </c>
      <c r="AI75" s="195">
        <f t="shared" si="9"/>
        <v>0</v>
      </c>
      <c r="AJ75" s="195">
        <f t="shared" si="9"/>
        <v>5093777.01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93277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42517945.129999988</v>
      </c>
      <c r="CF75" s="252"/>
    </row>
    <row r="76" spans="1:84" ht="12.6" customHeight="1" x14ac:dyDescent="0.25">
      <c r="A76" s="171" t="s">
        <v>248</v>
      </c>
      <c r="B76" s="175"/>
      <c r="C76" s="184"/>
      <c r="D76" s="184"/>
      <c r="E76" s="185">
        <v>5592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/>
      <c r="P76" s="185">
        <f>1667+4024</f>
        <v>5691</v>
      </c>
      <c r="Q76" s="185"/>
      <c r="R76" s="185"/>
      <c r="S76" s="185"/>
      <c r="T76" s="185"/>
      <c r="U76" s="185">
        <v>1784</v>
      </c>
      <c r="V76" s="185"/>
      <c r="W76" s="185"/>
      <c r="X76" s="185">
        <v>621</v>
      </c>
      <c r="Y76" s="185">
        <f>195+146+1688+228</f>
        <v>2257</v>
      </c>
      <c r="Z76" s="185"/>
      <c r="AA76" s="185"/>
      <c r="AB76" s="185">
        <v>239</v>
      </c>
      <c r="AC76" s="185">
        <v>342</v>
      </c>
      <c r="AD76" s="185"/>
      <c r="AE76" s="185">
        <v>4611</v>
      </c>
      <c r="AF76" s="185"/>
      <c r="AG76" s="185">
        <v>2054</v>
      </c>
      <c r="AH76" s="185"/>
      <c r="AI76" s="185"/>
      <c r="AJ76" s="185">
        <v>12898</v>
      </c>
      <c r="AK76" s="185"/>
      <c r="AL76" s="185"/>
      <c r="AM76" s="185"/>
      <c r="AN76" s="185"/>
      <c r="AO76" s="185"/>
      <c r="AP76" s="185"/>
      <c r="AQ76" s="185"/>
      <c r="AR76" s="185">
        <v>987</v>
      </c>
      <c r="AS76" s="185"/>
      <c r="AT76" s="185"/>
      <c r="AU76" s="185"/>
      <c r="AV76" s="185"/>
      <c r="AW76" s="185"/>
      <c r="AX76" s="185"/>
      <c r="AY76" s="185">
        <v>1202</v>
      </c>
      <c r="AZ76" s="185">
        <v>1067</v>
      </c>
      <c r="BA76" s="185"/>
      <c r="BB76" s="185"/>
      <c r="BC76" s="185"/>
      <c r="BD76" s="185">
        <v>883</v>
      </c>
      <c r="BE76" s="185">
        <f>26376+6171+1016</f>
        <v>33563</v>
      </c>
      <c r="BF76" s="185">
        <v>1332</v>
      </c>
      <c r="BG76" s="185"/>
      <c r="BH76" s="185">
        <v>1571</v>
      </c>
      <c r="BI76" s="185"/>
      <c r="BJ76" s="185">
        <v>700</v>
      </c>
      <c r="BK76" s="185">
        <v>1730</v>
      </c>
      <c r="BL76" s="185">
        <v>410</v>
      </c>
      <c r="BM76" s="185"/>
      <c r="BN76" s="185">
        <f>4045+328</f>
        <v>4373</v>
      </c>
      <c r="BO76" s="185"/>
      <c r="BP76" s="185"/>
      <c r="BQ76" s="185"/>
      <c r="BR76" s="185"/>
      <c r="BS76" s="185"/>
      <c r="BT76" s="185"/>
      <c r="BU76" s="185"/>
      <c r="BV76" s="185">
        <v>1031</v>
      </c>
      <c r="BW76" s="185"/>
      <c r="BX76" s="185"/>
      <c r="BY76" s="185">
        <v>112</v>
      </c>
      <c r="BZ76" s="185"/>
      <c r="CA76" s="185"/>
      <c r="CB76" s="185"/>
      <c r="CC76" s="185">
        <v>575</v>
      </c>
      <c r="CD76" s="249" t="s">
        <v>221</v>
      </c>
      <c r="CE76" s="195">
        <f t="shared" si="8"/>
        <v>85625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3658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3658</v>
      </c>
      <c r="CF77" s="195">
        <f>AY59-CE77</f>
        <v>33889</v>
      </c>
    </row>
    <row r="78" spans="1:84" ht="12.6" customHeight="1" x14ac:dyDescent="0.25">
      <c r="A78" s="171" t="s">
        <v>250</v>
      </c>
      <c r="B78" s="175"/>
      <c r="C78" s="184"/>
      <c r="D78" s="184"/>
      <c r="E78" s="184">
        <v>5164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>
        <v>27592</v>
      </c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>
        <v>71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>
        <v>117</v>
      </c>
      <c r="BW78" s="184">
        <v>44</v>
      </c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32988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>
        <v>1881</v>
      </c>
      <c r="F79" s="184"/>
      <c r="G79" s="184"/>
      <c r="H79" s="184"/>
      <c r="I79" s="184"/>
      <c r="J79" s="184"/>
      <c r="K79" s="184"/>
      <c r="L79" s="184">
        <v>185</v>
      </c>
      <c r="M79" s="184"/>
      <c r="N79" s="184"/>
      <c r="O79" s="184"/>
      <c r="P79" s="184">
        <v>701</v>
      </c>
      <c r="Q79" s="184"/>
      <c r="R79" s="184">
        <v>20</v>
      </c>
      <c r="S79" s="184">
        <v>559</v>
      </c>
      <c r="T79" s="184"/>
      <c r="U79" s="184">
        <v>147</v>
      </c>
      <c r="V79" s="184"/>
      <c r="W79" s="184"/>
      <c r="X79" s="184">
        <v>20</v>
      </c>
      <c r="Y79" s="184">
        <v>391</v>
      </c>
      <c r="Z79" s="184"/>
      <c r="AA79" s="184"/>
      <c r="AB79" s="184">
        <v>68</v>
      </c>
      <c r="AC79" s="184"/>
      <c r="AD79" s="184"/>
      <c r="AE79" s="184">
        <v>209</v>
      </c>
      <c r="AF79" s="184"/>
      <c r="AG79" s="184">
        <v>278</v>
      </c>
      <c r="AH79" s="184">
        <v>736</v>
      </c>
      <c r="AI79" s="184"/>
      <c r="AJ79" s="184">
        <v>2724</v>
      </c>
      <c r="AK79" s="184"/>
      <c r="AL79" s="184"/>
      <c r="AM79" s="184"/>
      <c r="AN79" s="184"/>
      <c r="AO79" s="184"/>
      <c r="AP79" s="184">
        <v>68</v>
      </c>
      <c r="AQ79" s="184"/>
      <c r="AR79" s="184">
        <v>104</v>
      </c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8091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v>6.78</v>
      </c>
      <c r="F80" s="187"/>
      <c r="G80" s="187"/>
      <c r="H80" s="187"/>
      <c r="I80" s="187"/>
      <c r="J80" s="187"/>
      <c r="K80" s="187"/>
      <c r="L80" s="187"/>
      <c r="M80" s="187">
        <v>2.92</v>
      </c>
      <c r="N80" s="187"/>
      <c r="O80" s="187"/>
      <c r="P80" s="187">
        <v>2.64</v>
      </c>
      <c r="Q80" s="187"/>
      <c r="R80" s="187">
        <v>2</v>
      </c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8.7899999999999991</v>
      </c>
      <c r="AH80" s="187"/>
      <c r="AI80" s="187"/>
      <c r="AJ80" s="187">
        <v>1.0900000000000001</v>
      </c>
      <c r="AK80" s="187"/>
      <c r="AL80" s="187"/>
      <c r="AM80" s="187"/>
      <c r="AN80" s="187"/>
      <c r="AO80" s="187"/>
      <c r="AP80" s="187"/>
      <c r="AQ80" s="187"/>
      <c r="AR80" s="187">
        <v>1.22</v>
      </c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25.439999999999998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1269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1270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1271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1272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1273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1274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1275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1276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1277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1278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86" t="s">
        <v>1279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141</v>
      </c>
      <c r="D111" s="174">
        <v>397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42</v>
      </c>
      <c r="D112" s="174">
        <v>611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10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>
        <v>7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17</v>
      </c>
    </row>
    <row r="128" spans="1:5" ht="12.6" customHeight="1" x14ac:dyDescent="0.25">
      <c r="A128" s="173" t="s">
        <v>292</v>
      </c>
      <c r="B128" s="172" t="s">
        <v>256</v>
      </c>
      <c r="C128" s="189">
        <v>25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264822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110</v>
      </c>
      <c r="C138" s="189">
        <v>17</v>
      </c>
      <c r="D138" s="174">
        <v>14</v>
      </c>
      <c r="E138" s="175">
        <f>SUM(B138:D138)</f>
        <v>141</v>
      </c>
    </row>
    <row r="139" spans="1:6" ht="12.6" customHeight="1" x14ac:dyDescent="0.25">
      <c r="A139" s="173" t="s">
        <v>215</v>
      </c>
      <c r="B139" s="174">
        <v>304</v>
      </c>
      <c r="C139" s="189">
        <v>45</v>
      </c>
      <c r="D139" s="174">
        <v>48</v>
      </c>
      <c r="E139" s="175">
        <f>SUM(B139:D139)</f>
        <v>397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1782658</v>
      </c>
      <c r="C141" s="189">
        <v>335853</v>
      </c>
      <c r="D141" s="174">
        <v>407745</v>
      </c>
      <c r="E141" s="175">
        <f>SUM(B141:D141)</f>
        <v>2526256</v>
      </c>
      <c r="F141" s="199"/>
    </row>
    <row r="142" spans="1:6" ht="12.6" customHeight="1" x14ac:dyDescent="0.25">
      <c r="A142" s="173" t="s">
        <v>246</v>
      </c>
      <c r="B142" s="174">
        <v>18062898</v>
      </c>
      <c r="C142" s="189">
        <v>11518597</v>
      </c>
      <c r="D142" s="174">
        <v>10410194</v>
      </c>
      <c r="E142" s="175">
        <f>SUM(B142:D142)</f>
        <v>39991689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34</v>
      </c>
      <c r="C144" s="189">
        <v>4</v>
      </c>
      <c r="D144" s="174">
        <v>4</v>
      </c>
      <c r="E144" s="175">
        <f>SUM(B144:D144)</f>
        <v>42</v>
      </c>
    </row>
    <row r="145" spans="1:5" ht="12.6" customHeight="1" x14ac:dyDescent="0.25">
      <c r="A145" s="173" t="s">
        <v>215</v>
      </c>
      <c r="B145" s="174">
        <v>481</v>
      </c>
      <c r="C145" s="189">
        <v>73</v>
      </c>
      <c r="D145" s="174">
        <v>57</v>
      </c>
      <c r="E145" s="175">
        <f>SUM(B145:D145)</f>
        <v>611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f>26685.89+120309.6+91250.8+32873.09+20053.79+38417.31+47909.12+2568.42+30886.63+3472.99+160128.21+17943.86+18068.92+5523.98+13908.52+11444.22+17822.48+28487.38+22373.54+15056.06+42272.86+12790.97+11283.47+12771.73+2116.14+30014.08+2174.55+27904.46+3907+4162.22</f>
        <v>874582.28999999992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14275.06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25072.66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39779.51+193294.85+148047.14+47828.41+27538.57+63973.72+74776.64-151.1+48395.47+9800.34+373817.44+15191.66+28960.74+14173.12+36890.06+15681.19+59769.89+63513.51+66433.87+69331.4+52507.06+46791.34+12504.47+27257.72+44869.85+70925.01+50822.41+11158.95</f>
        <v>1713883.2400000002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f>237.9+1602.03+1482.4+881.58+720+222.3+269.1+206.5+39+3699.61+39.8+113.1+46.8+1246+42.18+237.9+257.4+315.9+128.7+146.9+140.4+93.6+136.5+361.08+202.68+46.8</f>
        <v>12916.159999999998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f>5269.86+49188.96+27314.97+29709.74+4999.8+8558.25+18668.87+2802.67+68993.1+859.85+2210.25+2458.53+2669.66+4704.63+6129.14+8577.45+7343.97+2647.87-224.82+4318.34+4651.87+2207.67+8559.11+13496.59+2009.25+2069.67</f>
        <v>290195.25000000006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/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f>20764.2+8129.52-5942.66</f>
        <v>22951.06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2953875.72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/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387696.9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387696.9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115368.42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51090.6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166459.01999999999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/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/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0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291209.15000000002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291209.15000000002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203706</v>
      </c>
      <c r="C195" s="189"/>
      <c r="D195" s="174"/>
      <c r="E195" s="175">
        <f t="shared" ref="E195:E203" si="10">SUM(B195:C195)-D195</f>
        <v>203706</v>
      </c>
    </row>
    <row r="196" spans="1:8" ht="12.6" customHeight="1" x14ac:dyDescent="0.25">
      <c r="A196" s="173" t="s">
        <v>333</v>
      </c>
      <c r="B196" s="174">
        <v>1731953.19</v>
      </c>
      <c r="C196" s="189">
        <v>3458.28</v>
      </c>
      <c r="D196" s="174"/>
      <c r="E196" s="175">
        <f t="shared" si="10"/>
        <v>1735411.47</v>
      </c>
    </row>
    <row r="197" spans="1:8" ht="12.6" customHeight="1" x14ac:dyDescent="0.25">
      <c r="A197" s="173" t="s">
        <v>334</v>
      </c>
      <c r="B197" s="174">
        <v>13285372.82</v>
      </c>
      <c r="C197" s="189">
        <v>156426.65</v>
      </c>
      <c r="D197" s="174"/>
      <c r="E197" s="175">
        <f t="shared" si="10"/>
        <v>13441799.470000001</v>
      </c>
    </row>
    <row r="198" spans="1:8" ht="12.6" customHeight="1" x14ac:dyDescent="0.25">
      <c r="A198" s="173" t="s">
        <v>335</v>
      </c>
      <c r="B198" s="174">
        <v>5936846.0999999996</v>
      </c>
      <c r="C198" s="189">
        <v>748812.24</v>
      </c>
      <c r="D198" s="174"/>
      <c r="E198" s="175">
        <f t="shared" si="10"/>
        <v>6685658.3399999999</v>
      </c>
    </row>
    <row r="199" spans="1:8" ht="12.6" customHeight="1" x14ac:dyDescent="0.25">
      <c r="A199" s="173" t="s">
        <v>336</v>
      </c>
      <c r="B199" s="174">
        <v>230742.95</v>
      </c>
      <c r="C199" s="189"/>
      <c r="D199" s="174"/>
      <c r="E199" s="175">
        <f t="shared" si="10"/>
        <v>230742.95</v>
      </c>
    </row>
    <row r="200" spans="1:8" ht="12.6" customHeight="1" x14ac:dyDescent="0.25">
      <c r="A200" s="173" t="s">
        <v>337</v>
      </c>
      <c r="B200" s="174">
        <v>6569387.6500000004</v>
      </c>
      <c r="C200" s="189">
        <v>198119.69</v>
      </c>
      <c r="D200" s="174"/>
      <c r="E200" s="175">
        <f t="shared" si="10"/>
        <v>6767507.3400000008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358993.87</v>
      </c>
      <c r="C203" s="189">
        <v>1622630.6</v>
      </c>
      <c r="D203" s="174">
        <f>405.4+164.6+996.98+662.47+1941.58+11231.79+970.79+79.79+886.88+79.29+138166.52+4241.25+112882.82+3392.91+42516.25+112882.82+3392.91+42516.25+5315.86+9263.87+38237.22+60250.37+5933.42+48060.87+8048.23+3458.28+18664.74+21611.8+366683+6269.18+300+2241.92+6983.24+5010+4127.51+4043.4+2+1137.42+12722.52+231.75+69.62+21260+612402.52+65190.35</f>
        <v>1804930.39</v>
      </c>
      <c r="E203" s="175">
        <f t="shared" si="10"/>
        <v>176694.08000000031</v>
      </c>
    </row>
    <row r="204" spans="1:8" ht="12.6" customHeight="1" x14ac:dyDescent="0.25">
      <c r="A204" s="173" t="s">
        <v>203</v>
      </c>
      <c r="B204" s="175">
        <f>SUM(B195:B203)</f>
        <v>28317002.580000002</v>
      </c>
      <c r="C204" s="191">
        <f>SUM(C195:C203)</f>
        <v>2729447.46</v>
      </c>
      <c r="D204" s="175">
        <f>SUM(D195:D203)</f>
        <v>1804930.39</v>
      </c>
      <c r="E204" s="175">
        <f>SUM(E195:E203)</f>
        <v>29241519.650000002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1131320.3600000001</v>
      </c>
      <c r="C209" s="189">
        <v>105257.9</v>
      </c>
      <c r="D209" s="174"/>
      <c r="E209" s="175">
        <f t="shared" ref="E209:E216" si="11">SUM(B209:C209)-D209</f>
        <v>1236578.26</v>
      </c>
      <c r="H209" s="259"/>
    </row>
    <row r="210" spans="1:8" ht="12.6" customHeight="1" x14ac:dyDescent="0.25">
      <c r="A210" s="173" t="s">
        <v>334</v>
      </c>
      <c r="B210" s="174">
        <v>6979609.4500000002</v>
      </c>
      <c r="C210" s="189">
        <v>375359.83</v>
      </c>
      <c r="D210" s="174"/>
      <c r="E210" s="175">
        <f t="shared" si="11"/>
        <v>7354969.2800000003</v>
      </c>
      <c r="H210" s="259"/>
    </row>
    <row r="211" spans="1:8" ht="12.6" customHeight="1" x14ac:dyDescent="0.25">
      <c r="A211" s="173" t="s">
        <v>335</v>
      </c>
      <c r="B211" s="174">
        <v>3638963.1</v>
      </c>
      <c r="C211" s="189">
        <v>325690.03999999998</v>
      </c>
      <c r="D211" s="174"/>
      <c r="E211" s="175">
        <f t="shared" si="11"/>
        <v>3964653.14</v>
      </c>
      <c r="H211" s="259"/>
    </row>
    <row r="212" spans="1:8" ht="12.6" customHeight="1" x14ac:dyDescent="0.25">
      <c r="A212" s="173" t="s">
        <v>336</v>
      </c>
      <c r="B212" s="174">
        <v>218774.59</v>
      </c>
      <c r="C212" s="189">
        <v>3711.8</v>
      </c>
      <c r="D212" s="174"/>
      <c r="E212" s="175">
        <f t="shared" si="11"/>
        <v>222486.38999999998</v>
      </c>
      <c r="H212" s="259"/>
    </row>
    <row r="213" spans="1:8" ht="12.6" customHeight="1" x14ac:dyDescent="0.25">
      <c r="A213" s="173" t="s">
        <v>337</v>
      </c>
      <c r="B213" s="174">
        <v>5362755.22</v>
      </c>
      <c r="C213" s="189">
        <v>396069.41</v>
      </c>
      <c r="D213" s="174"/>
      <c r="E213" s="175">
        <f t="shared" si="11"/>
        <v>5758824.6299999999</v>
      </c>
      <c r="H213" s="259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17331422.719999999</v>
      </c>
      <c r="C217" s="191">
        <f>SUM(C208:C216)</f>
        <v>1206088.98</v>
      </c>
      <c r="D217" s="175">
        <f>SUM(D208:D216)</f>
        <v>0</v>
      </c>
      <c r="E217" s="175">
        <f>SUM(E208:E216)</f>
        <v>18537511.700000003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7" t="s">
        <v>1255</v>
      </c>
      <c r="C220" s="287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922343.11</v>
      </c>
      <c r="D221" s="172">
        <f>C221</f>
        <v>922343.11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f>40301.32-591492.23+412274.23-687339.47+9002529.53+138664.08+442860.76+208875.76+19012.94</f>
        <v>8985686.9199999981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f>401325.43-4083.43+1558+5474689.29+5420.4</f>
        <v>5878909.6900000004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5894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f>1914318.77+216246.77+107753.68+809049.62-1580.15-647.6+3341.56+5310.68</f>
        <v>3053793.3300000005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17924283.940000001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/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735317.49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735317.49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f>756645.68</f>
        <v>756645.68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f>271120.17+8893.06</f>
        <v>280013.23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1036658.91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20618603.449999999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2384472.61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7261276.5800000001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3792882.15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693126.52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f>485992.8+235699.78</f>
        <v>721692.58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224932.29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298999.15000000002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7791617.5799999991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457651.57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457651.57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203706.33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1735411.47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6685658.3399999999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13441796.470000001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230742.95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6767507.3399999999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176694.47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29241517.369999997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18537511.699999999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10704005.669999998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18953274.819999997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>
        <v>292137.28000000003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871036.69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f>283532.8+684508.54+81877.58</f>
        <v>1049918.9200000002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19822.14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1587987.92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f>18953.84</f>
        <v>18953.84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526074.78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847197.32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5213128.8900000006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6310307.8399999999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88008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6398315.8399999999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847197.32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5551118.5199999996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9005541.1300000008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-816513.72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18953274.82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18953274.819999997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2705395.7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39812549.43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42517945.130000003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922343.11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17924283.940000001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735317.49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1036658.91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20618603.449999999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21899341.680000003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/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0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21899341.680000003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12960933.41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2953875.72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1315980.24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1696089.53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295942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2196476.09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1197225.8600000001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387696.9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166459.01999999999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/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291209.15000000002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776026.75+46630+619174.36</f>
        <v>1441831.1099999999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24903719.029999997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-3004377.349999994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2187863.4500000002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-816513.89999999385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-816513.89999999385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Klickitat County Public Hospital District #1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141</v>
      </c>
      <c r="C414" s="194">
        <f>E138</f>
        <v>141</v>
      </c>
      <c r="D414" s="179"/>
    </row>
    <row r="415" spans="1:5" ht="12.6" customHeight="1" x14ac:dyDescent="0.25">
      <c r="A415" s="179" t="s">
        <v>464</v>
      </c>
      <c r="B415" s="179">
        <f>D111</f>
        <v>397</v>
      </c>
      <c r="C415" s="179">
        <f>E139</f>
        <v>397</v>
      </c>
      <c r="D415" s="194">
        <f>SUM(C59:H59)+N59</f>
        <v>1295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42</v>
      </c>
      <c r="C417" s="194">
        <f>E144</f>
        <v>42</v>
      </c>
      <c r="D417" s="179"/>
    </row>
    <row r="418" spans="1:7" ht="12.6" customHeight="1" x14ac:dyDescent="0.25">
      <c r="A418" s="179" t="s">
        <v>466</v>
      </c>
      <c r="B418" s="179">
        <f>D112</f>
        <v>611</v>
      </c>
      <c r="C418" s="179">
        <f>E145</f>
        <v>611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12960933.41</v>
      </c>
      <c r="C427" s="179">
        <f t="shared" ref="C427:C434" si="13">CE61</f>
        <v>12960933.459999999</v>
      </c>
      <c r="D427" s="179"/>
    </row>
    <row r="428" spans="1:7" ht="12.6" customHeight="1" x14ac:dyDescent="0.25">
      <c r="A428" s="179" t="s">
        <v>3</v>
      </c>
      <c r="B428" s="179">
        <f t="shared" si="12"/>
        <v>2953875.72</v>
      </c>
      <c r="C428" s="179">
        <f t="shared" si="13"/>
        <v>2953873</v>
      </c>
      <c r="D428" s="179">
        <f>D173</f>
        <v>2953875.72</v>
      </c>
    </row>
    <row r="429" spans="1:7" ht="12.6" customHeight="1" x14ac:dyDescent="0.25">
      <c r="A429" s="179" t="s">
        <v>236</v>
      </c>
      <c r="B429" s="179">
        <f t="shared" si="12"/>
        <v>1315980.24</v>
      </c>
      <c r="C429" s="179">
        <f t="shared" si="13"/>
        <v>1315980.24</v>
      </c>
      <c r="D429" s="179"/>
    </row>
    <row r="430" spans="1:7" ht="12.6" customHeight="1" x14ac:dyDescent="0.25">
      <c r="A430" s="179" t="s">
        <v>237</v>
      </c>
      <c r="B430" s="179">
        <f t="shared" si="12"/>
        <v>1696089.53</v>
      </c>
      <c r="C430" s="179">
        <f t="shared" si="13"/>
        <v>1696089.5299999998</v>
      </c>
      <c r="D430" s="179"/>
    </row>
    <row r="431" spans="1:7" ht="12.6" customHeight="1" x14ac:dyDescent="0.25">
      <c r="A431" s="179" t="s">
        <v>444</v>
      </c>
      <c r="B431" s="179">
        <f t="shared" si="12"/>
        <v>295942</v>
      </c>
      <c r="C431" s="179">
        <f t="shared" si="13"/>
        <v>295941.82000000007</v>
      </c>
      <c r="D431" s="179"/>
    </row>
    <row r="432" spans="1:7" ht="12.6" customHeight="1" x14ac:dyDescent="0.25">
      <c r="A432" s="179" t="s">
        <v>445</v>
      </c>
      <c r="B432" s="179">
        <f t="shared" si="12"/>
        <v>2196476.09</v>
      </c>
      <c r="C432" s="179">
        <f t="shared" si="13"/>
        <v>2196476.09</v>
      </c>
      <c r="D432" s="179"/>
    </row>
    <row r="433" spans="1:7" ht="12.6" customHeight="1" x14ac:dyDescent="0.25">
      <c r="A433" s="179" t="s">
        <v>6</v>
      </c>
      <c r="B433" s="179">
        <f t="shared" si="12"/>
        <v>1197225.8600000001</v>
      </c>
      <c r="C433" s="179">
        <f t="shared" si="13"/>
        <v>1197226</v>
      </c>
      <c r="D433" s="179">
        <f>C217</f>
        <v>1206088.98</v>
      </c>
    </row>
    <row r="434" spans="1:7" ht="12.6" customHeight="1" x14ac:dyDescent="0.25">
      <c r="A434" s="179" t="s">
        <v>474</v>
      </c>
      <c r="B434" s="179">
        <f t="shared" si="12"/>
        <v>387696.9</v>
      </c>
      <c r="C434" s="179">
        <f t="shared" si="13"/>
        <v>387696.9</v>
      </c>
      <c r="D434" s="179">
        <f>D177</f>
        <v>387696.9</v>
      </c>
    </row>
    <row r="435" spans="1:7" ht="12.6" customHeight="1" x14ac:dyDescent="0.25">
      <c r="A435" s="179" t="s">
        <v>447</v>
      </c>
      <c r="B435" s="179">
        <f t="shared" si="12"/>
        <v>166459.01999999999</v>
      </c>
      <c r="C435" s="179"/>
      <c r="D435" s="179">
        <f>D181</f>
        <v>166459.01999999999</v>
      </c>
    </row>
    <row r="436" spans="1:7" ht="12.6" customHeight="1" x14ac:dyDescent="0.25">
      <c r="A436" s="179" t="s">
        <v>475</v>
      </c>
      <c r="B436" s="179">
        <f t="shared" si="12"/>
        <v>0</v>
      </c>
      <c r="C436" s="179"/>
      <c r="D436" s="179">
        <f>D186</f>
        <v>0</v>
      </c>
    </row>
    <row r="437" spans="1:7" ht="12.6" customHeight="1" x14ac:dyDescent="0.25">
      <c r="A437" s="194" t="s">
        <v>449</v>
      </c>
      <c r="B437" s="194">
        <f t="shared" si="12"/>
        <v>291209.15000000002</v>
      </c>
      <c r="C437" s="194"/>
      <c r="D437" s="194">
        <f>D190</f>
        <v>291209.15000000002</v>
      </c>
    </row>
    <row r="438" spans="1:7" ht="12.6" customHeight="1" x14ac:dyDescent="0.25">
      <c r="A438" s="194" t="s">
        <v>476</v>
      </c>
      <c r="B438" s="194">
        <f>C386+C387+C388</f>
        <v>457668.17000000004</v>
      </c>
      <c r="C438" s="194">
        <f>CD69</f>
        <v>0</v>
      </c>
      <c r="D438" s="194">
        <f>D181+D186+D190</f>
        <v>457668.17000000004</v>
      </c>
    </row>
    <row r="439" spans="1:7" ht="12.6" customHeight="1" x14ac:dyDescent="0.25">
      <c r="A439" s="179" t="s">
        <v>451</v>
      </c>
      <c r="B439" s="194">
        <f>C389</f>
        <v>1441831.1099999999</v>
      </c>
      <c r="C439" s="194">
        <f>SUM(C69:CC69)</f>
        <v>1899499.2800000003</v>
      </c>
      <c r="D439" s="179"/>
    </row>
    <row r="440" spans="1:7" ht="12.6" customHeight="1" x14ac:dyDescent="0.25">
      <c r="A440" s="179" t="s">
        <v>477</v>
      </c>
      <c r="B440" s="194">
        <f>B438+B439</f>
        <v>1899499.2799999998</v>
      </c>
      <c r="C440" s="194">
        <f>CE69</f>
        <v>1899499.2800000003</v>
      </c>
      <c r="D440" s="179"/>
    </row>
    <row r="441" spans="1:7" ht="12.6" customHeight="1" x14ac:dyDescent="0.25">
      <c r="A441" s="179" t="s">
        <v>478</v>
      </c>
      <c r="B441" s="179">
        <f>D390</f>
        <v>24903719.029999997</v>
      </c>
      <c r="C441" s="179">
        <f>SUM(C427:C437)+C440</f>
        <v>24903716.32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922343.11</v>
      </c>
      <c r="C444" s="179">
        <f>C363</f>
        <v>922343.11</v>
      </c>
      <c r="D444" s="179"/>
    </row>
    <row r="445" spans="1:7" ht="12.6" customHeight="1" x14ac:dyDescent="0.25">
      <c r="A445" s="179" t="s">
        <v>343</v>
      </c>
      <c r="B445" s="179">
        <f>D229</f>
        <v>17924283.940000001</v>
      </c>
      <c r="C445" s="179">
        <f>C364</f>
        <v>17924283.940000001</v>
      </c>
      <c r="D445" s="179"/>
    </row>
    <row r="446" spans="1:7" ht="12.6" customHeight="1" x14ac:dyDescent="0.25">
      <c r="A446" s="179" t="s">
        <v>351</v>
      </c>
      <c r="B446" s="179">
        <f>D236</f>
        <v>735317.49</v>
      </c>
      <c r="C446" s="179">
        <f>C365</f>
        <v>735317.49</v>
      </c>
      <c r="D446" s="179"/>
    </row>
    <row r="447" spans="1:7" ht="12.6" customHeight="1" x14ac:dyDescent="0.25">
      <c r="A447" s="179" t="s">
        <v>356</v>
      </c>
      <c r="B447" s="179">
        <f>D240</f>
        <v>1036658.91</v>
      </c>
      <c r="C447" s="179">
        <f>C366</f>
        <v>1036658.91</v>
      </c>
      <c r="D447" s="179"/>
    </row>
    <row r="448" spans="1:7" ht="12.6" customHeight="1" x14ac:dyDescent="0.25">
      <c r="A448" s="179" t="s">
        <v>358</v>
      </c>
      <c r="B448" s="179">
        <f>D242</f>
        <v>20618603.449999999</v>
      </c>
      <c r="C448" s="179">
        <f>D367</f>
        <v>20618603.449999999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0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735317.49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0</v>
      </c>
      <c r="C458" s="194">
        <f>CE70</f>
        <v>0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2705395.7</v>
      </c>
      <c r="C463" s="194">
        <f>CE73</f>
        <v>2705395.7</v>
      </c>
      <c r="D463" s="194">
        <f>E141+E147+E153</f>
        <v>2526256</v>
      </c>
    </row>
    <row r="464" spans="1:7" ht="12.6" customHeight="1" x14ac:dyDescent="0.25">
      <c r="A464" s="179" t="s">
        <v>246</v>
      </c>
      <c r="B464" s="194">
        <f>C360</f>
        <v>39812549.43</v>
      </c>
      <c r="C464" s="194">
        <f>CE74</f>
        <v>39812549.43</v>
      </c>
      <c r="D464" s="194">
        <f>E142+E148+E154</f>
        <v>39991689</v>
      </c>
    </row>
    <row r="465" spans="1:7" ht="12.6" customHeight="1" x14ac:dyDescent="0.25">
      <c r="A465" s="179" t="s">
        <v>247</v>
      </c>
      <c r="B465" s="194">
        <f>D361</f>
        <v>42517945.130000003</v>
      </c>
      <c r="C465" s="194">
        <f>CE75</f>
        <v>42517945.129999988</v>
      </c>
      <c r="D465" s="194">
        <f>D463+D464</f>
        <v>42517945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203706.33</v>
      </c>
      <c r="C468" s="179">
        <f>E195</f>
        <v>203706</v>
      </c>
      <c r="D468" s="179"/>
    </row>
    <row r="469" spans="1:7" ht="12.6" customHeight="1" x14ac:dyDescent="0.25">
      <c r="A469" s="179" t="s">
        <v>333</v>
      </c>
      <c r="B469" s="179">
        <f t="shared" si="14"/>
        <v>1735411.47</v>
      </c>
      <c r="C469" s="179">
        <f>E196</f>
        <v>1735411.47</v>
      </c>
      <c r="D469" s="179"/>
    </row>
    <row r="470" spans="1:7" ht="12.6" customHeight="1" x14ac:dyDescent="0.25">
      <c r="A470" s="179" t="s">
        <v>334</v>
      </c>
      <c r="B470" s="179">
        <f t="shared" si="14"/>
        <v>6685658.3399999999</v>
      </c>
      <c r="C470" s="179">
        <f>E197</f>
        <v>13441799.470000001</v>
      </c>
      <c r="D470" s="179"/>
    </row>
    <row r="471" spans="1:7" ht="12.6" customHeight="1" x14ac:dyDescent="0.25">
      <c r="A471" s="179" t="s">
        <v>494</v>
      </c>
      <c r="B471" s="179">
        <f t="shared" si="14"/>
        <v>13441796.470000001</v>
      </c>
      <c r="C471" s="179">
        <f>E198</f>
        <v>6685658.3399999999</v>
      </c>
      <c r="D471" s="179"/>
    </row>
    <row r="472" spans="1:7" ht="12.6" customHeight="1" x14ac:dyDescent="0.25">
      <c r="A472" s="179" t="s">
        <v>377</v>
      </c>
      <c r="B472" s="179">
        <f t="shared" si="14"/>
        <v>230742.95</v>
      </c>
      <c r="C472" s="179">
        <f>E199</f>
        <v>230742.95</v>
      </c>
      <c r="D472" s="179"/>
    </row>
    <row r="473" spans="1:7" ht="12.6" customHeight="1" x14ac:dyDescent="0.25">
      <c r="A473" s="179" t="s">
        <v>495</v>
      </c>
      <c r="B473" s="179">
        <f t="shared" si="14"/>
        <v>6767507.3399999999</v>
      </c>
      <c r="C473" s="179">
        <f>SUM(E200:E201)</f>
        <v>6767507.3400000008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176694.47</v>
      </c>
      <c r="C475" s="179">
        <f>E203</f>
        <v>176694.08000000031</v>
      </c>
      <c r="D475" s="179"/>
    </row>
    <row r="476" spans="1:7" ht="12.6" customHeight="1" x14ac:dyDescent="0.25">
      <c r="A476" s="179" t="s">
        <v>203</v>
      </c>
      <c r="B476" s="179">
        <f>D275</f>
        <v>29241517.369999997</v>
      </c>
      <c r="C476" s="179">
        <f>E204</f>
        <v>29241519.650000002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18537511.699999999</v>
      </c>
      <c r="C478" s="179">
        <f>E217</f>
        <v>18537511.700000003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18953274.819999997</v>
      </c>
    </row>
    <row r="482" spans="1:12" ht="12.6" customHeight="1" x14ac:dyDescent="0.25">
      <c r="A482" s="180" t="s">
        <v>499</v>
      </c>
      <c r="C482" s="180">
        <f>D339</f>
        <v>18953274.82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008</v>
      </c>
      <c r="B493" s="261" t="s">
        <v>1268</v>
      </c>
      <c r="C493" s="261" t="str">
        <f>RIGHT(C82,4)</f>
        <v>2018</v>
      </c>
      <c r="D493" s="261" t="s">
        <v>1268</v>
      </c>
      <c r="E493" s="261" t="str">
        <f>RIGHT(C82,4)</f>
        <v>2018</v>
      </c>
      <c r="F493" s="261" t="s">
        <v>1268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0</v>
      </c>
      <c r="C496" s="240">
        <f>C71</f>
        <v>0</v>
      </c>
      <c r="D496" s="240"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3160601.9999999995</v>
      </c>
      <c r="C498" s="240">
        <f>E71</f>
        <v>3165876.1799999997</v>
      </c>
      <c r="D498" s="240">
        <v>698</v>
      </c>
      <c r="E498" s="180">
        <f>E59</f>
        <v>397</v>
      </c>
      <c r="F498" s="263">
        <f t="shared" si="15"/>
        <v>4528.0830945558737</v>
      </c>
      <c r="G498" s="263">
        <f t="shared" si="15"/>
        <v>7974.4991939546589</v>
      </c>
      <c r="H498" s="265">
        <f t="shared" si="16"/>
        <v>0.76112033004483082</v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0</v>
      </c>
      <c r="C501" s="240">
        <f>H71</f>
        <v>0</v>
      </c>
      <c r="D501" s="240"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0</v>
      </c>
      <c r="C503" s="240">
        <f>J71</f>
        <v>0</v>
      </c>
      <c r="D503" s="240"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189628.84000000003</v>
      </c>
      <c r="C506" s="240">
        <f>M71</f>
        <v>444706.59</v>
      </c>
      <c r="D506" s="240">
        <v>1012</v>
      </c>
      <c r="E506" s="180">
        <f>M59</f>
        <v>850</v>
      </c>
      <c r="F506" s="263">
        <f t="shared" si="15"/>
        <v>187.38027667984193</v>
      </c>
      <c r="G506" s="263">
        <f t="shared" si="15"/>
        <v>523.18422352941184</v>
      </c>
      <c r="H506" s="265">
        <f t="shared" si="16"/>
        <v>1.7920986818870204</v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41321.729999999996</v>
      </c>
      <c r="C507" s="240">
        <f>N71</f>
        <v>190231.18</v>
      </c>
      <c r="D507" s="240">
        <v>252</v>
      </c>
      <c r="E507" s="180">
        <f>N59</f>
        <v>898</v>
      </c>
      <c r="F507" s="263">
        <f t="shared" si="15"/>
        <v>163.97511904761902</v>
      </c>
      <c r="G507" s="263">
        <f t="shared" si="15"/>
        <v>211.83873051224944</v>
      </c>
      <c r="H507" s="265">
        <f t="shared" si="16"/>
        <v>0.29189557380794251</v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0</v>
      </c>
      <c r="C508" s="240">
        <f>O71</f>
        <v>0</v>
      </c>
      <c r="D508" s="240"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1650725.91</v>
      </c>
      <c r="C509" s="240">
        <f>P71</f>
        <v>1856864.65</v>
      </c>
      <c r="D509" s="240">
        <v>2419</v>
      </c>
      <c r="E509" s="180">
        <f>P59</f>
        <v>2609</v>
      </c>
      <c r="F509" s="263">
        <f t="shared" si="15"/>
        <v>682.4001281521289</v>
      </c>
      <c r="G509" s="263">
        <f t="shared" si="15"/>
        <v>711.71508240705248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0</v>
      </c>
      <c r="C510" s="240">
        <f>Q71</f>
        <v>0</v>
      </c>
      <c r="D510" s="240"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328695.7</v>
      </c>
      <c r="C511" s="240">
        <f>R71</f>
        <v>330323.83000000007</v>
      </c>
      <c r="D511" s="240"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0</v>
      </c>
      <c r="C512" s="240">
        <f>S71</f>
        <v>0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1452963.6600000001</v>
      </c>
      <c r="C514" s="240">
        <f>U71</f>
        <v>1446825.3</v>
      </c>
      <c r="D514" s="240">
        <v>65000</v>
      </c>
      <c r="E514" s="180">
        <f>U59</f>
        <v>55930</v>
      </c>
      <c r="F514" s="263">
        <f t="shared" si="17"/>
        <v>22.353287076923078</v>
      </c>
      <c r="G514" s="263">
        <f t="shared" si="17"/>
        <v>25.868501698551761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0</v>
      </c>
      <c r="C515" s="240">
        <f>V71</f>
        <v>0</v>
      </c>
      <c r="D515" s="240"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322442.82</v>
      </c>
      <c r="C516" s="240">
        <f>W71</f>
        <v>296925.83</v>
      </c>
      <c r="D516" s="240">
        <v>487</v>
      </c>
      <c r="E516" s="180">
        <f>W59</f>
        <v>464</v>
      </c>
      <c r="F516" s="263">
        <f t="shared" si="17"/>
        <v>662.10024640657082</v>
      </c>
      <c r="G516" s="263">
        <f t="shared" si="17"/>
        <v>639.92635775862072</v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273221.2</v>
      </c>
      <c r="C517" s="240">
        <f>X71</f>
        <v>272720.7</v>
      </c>
      <c r="D517" s="240">
        <v>1481</v>
      </c>
      <c r="E517" s="180">
        <f>X59</f>
        <v>1524</v>
      </c>
      <c r="F517" s="263">
        <f t="shared" si="17"/>
        <v>184.48426738690074</v>
      </c>
      <c r="G517" s="263">
        <f t="shared" si="17"/>
        <v>178.95059055118111</v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1108415.56</v>
      </c>
      <c r="C518" s="240">
        <f>Y71</f>
        <v>1164612.3700000001</v>
      </c>
      <c r="D518" s="240">
        <v>6448</v>
      </c>
      <c r="E518" s="180">
        <f>Y59</f>
        <v>6564</v>
      </c>
      <c r="F518" s="263">
        <f t="shared" si="17"/>
        <v>171.90067617866006</v>
      </c>
      <c r="G518" s="263">
        <f t="shared" si="17"/>
        <v>177.42418799512495</v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0</v>
      </c>
      <c r="C519" s="240">
        <f>Z71</f>
        <v>0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0</v>
      </c>
      <c r="C520" s="240">
        <f>AA71</f>
        <v>0</v>
      </c>
      <c r="D520" s="240"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308619.78999999998</v>
      </c>
      <c r="C521" s="240">
        <f>AB71</f>
        <v>340013.29999999993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61120.299999999996</v>
      </c>
      <c r="C522" s="240">
        <f>AC71</f>
        <v>82223.47</v>
      </c>
      <c r="D522" s="240">
        <v>579</v>
      </c>
      <c r="E522" s="180">
        <f>AC59</f>
        <v>581</v>
      </c>
      <c r="F522" s="263">
        <f t="shared" si="17"/>
        <v>105.56183074265975</v>
      </c>
      <c r="G522" s="263">
        <f t="shared" si="17"/>
        <v>141.52060240963857</v>
      </c>
      <c r="H522" s="265">
        <f t="shared" si="16"/>
        <v>0.34064179650919146</v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0</v>
      </c>
      <c r="C523" s="240">
        <f>AD71</f>
        <v>0</v>
      </c>
      <c r="D523" s="240"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435855.75</v>
      </c>
      <c r="C524" s="240">
        <f>AE71</f>
        <v>615792.84000000008</v>
      </c>
      <c r="D524" s="240">
        <v>12212</v>
      </c>
      <c r="E524" s="180">
        <f>AE59</f>
        <v>11209</v>
      </c>
      <c r="F524" s="263">
        <f t="shared" si="17"/>
        <v>35.690775466754012</v>
      </c>
      <c r="G524" s="263">
        <f t="shared" si="17"/>
        <v>54.937357480595956</v>
      </c>
      <c r="H524" s="265">
        <f t="shared" si="16"/>
        <v>0.53925928372641141</v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2190662.8200000003</v>
      </c>
      <c r="C526" s="240">
        <f>AG71</f>
        <v>2216759.4700000002</v>
      </c>
      <c r="D526" s="240">
        <v>5441</v>
      </c>
      <c r="E526" s="180">
        <f>AG59</f>
        <v>5441</v>
      </c>
      <c r="F526" s="263">
        <f t="shared" si="17"/>
        <v>402.62136004410962</v>
      </c>
      <c r="G526" s="263">
        <f t="shared" si="17"/>
        <v>407.41765668075726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0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3911600.3099999996</v>
      </c>
      <c r="C529" s="240">
        <f>AJ71</f>
        <v>3687797.81</v>
      </c>
      <c r="D529" s="240">
        <v>20821</v>
      </c>
      <c r="E529" s="180">
        <f>AJ59</f>
        <v>20821</v>
      </c>
      <c r="F529" s="263">
        <f t="shared" si="18"/>
        <v>187.86803275539117</v>
      </c>
      <c r="G529" s="263">
        <f t="shared" si="18"/>
        <v>177.11914941645455</v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34693.64</v>
      </c>
      <c r="C530" s="240">
        <f>AK71</f>
        <v>0</v>
      </c>
      <c r="D530" s="240">
        <v>1044</v>
      </c>
      <c r="E530" s="180">
        <f>AK59</f>
        <v>1044</v>
      </c>
      <c r="F530" s="263">
        <f t="shared" si="18"/>
        <v>33.231455938697316</v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0</v>
      </c>
      <c r="C531" s="240">
        <f>AL71</f>
        <v>0</v>
      </c>
      <c r="D531" s="240"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628176.47</v>
      </c>
      <c r="C537" s="240">
        <f>AR71</f>
        <v>396494.71999999991</v>
      </c>
      <c r="D537" s="240">
        <v>1679</v>
      </c>
      <c r="E537" s="180">
        <f>AR59</f>
        <v>1708</v>
      </c>
      <c r="F537" s="263">
        <f t="shared" si="18"/>
        <v>374.13726622989873</v>
      </c>
      <c r="G537" s="263">
        <f t="shared" si="18"/>
        <v>232.13976580796248</v>
      </c>
      <c r="H537" s="265">
        <f t="shared" si="16"/>
        <v>-0.37953316399837611</v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132521.53</v>
      </c>
      <c r="C542" s="240">
        <f>AW71</f>
        <v>112010.22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484215.38999999996</v>
      </c>
      <c r="C544" s="240">
        <f>AY71</f>
        <v>510501.49000000005</v>
      </c>
      <c r="D544" s="240">
        <v>37944</v>
      </c>
      <c r="E544" s="180">
        <f>AY59</f>
        <v>37547</v>
      </c>
      <c r="F544" s="263">
        <f t="shared" ref="F544:G550" si="19">IF(B544=0,"",IF(D544=0,"",B544/D544))</f>
        <v>12.761316413662238</v>
      </c>
      <c r="G544" s="263">
        <f t="shared" si="19"/>
        <v>13.596332330146218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0</v>
      </c>
      <c r="C546" s="240">
        <f>BA71</f>
        <v>0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18416.949999999997</v>
      </c>
      <c r="C548" s="240">
        <f>BC71</f>
        <v>15549.59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70049.98</v>
      </c>
      <c r="C549" s="240">
        <f>BD71</f>
        <v>73580.73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843052.88</v>
      </c>
      <c r="C550" s="240">
        <f>BE71</f>
        <v>915808.49</v>
      </c>
      <c r="D550" s="240">
        <v>73529</v>
      </c>
      <c r="E550" s="180">
        <f>BE59</f>
        <v>85625</v>
      </c>
      <c r="F550" s="263">
        <f t="shared" si="19"/>
        <v>11.465583375266901</v>
      </c>
      <c r="G550" s="263">
        <f t="shared" si="19"/>
        <v>10.695573605839416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489569.24</v>
      </c>
      <c r="C551" s="240">
        <f>BF71</f>
        <v>549918.71999999997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892630.15</v>
      </c>
      <c r="C553" s="240">
        <f>BH71</f>
        <v>898886.87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280193.73</v>
      </c>
      <c r="C555" s="240">
        <f>BJ71</f>
        <v>285806.14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758767.75999999989</v>
      </c>
      <c r="C556" s="240">
        <f>BK71</f>
        <v>863509.39999999991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169709.27000000002</v>
      </c>
      <c r="C557" s="240">
        <f>BL71</f>
        <v>226386.27999999997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3191710.56</v>
      </c>
      <c r="C559" s="240">
        <f>BN71</f>
        <v>3275217.6300000008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253057.56999999998</v>
      </c>
      <c r="C567" s="240">
        <f>BV71</f>
        <v>270377.97000000003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0</v>
      </c>
      <c r="C570" s="240">
        <f>BY71</f>
        <v>332250.62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52685.89</v>
      </c>
      <c r="C574" s="240">
        <f>CC71</f>
        <v>65743.929999999993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0</v>
      </c>
      <c r="C575" s="240">
        <f>CD71</f>
        <v>0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52062</v>
      </c>
      <c r="E612" s="180">
        <f>SUM(C624:D647)+SUM(C668:D713)</f>
        <v>21177596.187294383</v>
      </c>
      <c r="F612" s="180">
        <f>CE64-(AX64+BD64+BE64+BG64+BJ64+BN64+BP64+BQ64+CB64+CC64+CD64)</f>
        <v>1565414.3699999999</v>
      </c>
      <c r="G612" s="180">
        <f>CE77-(AX77+AY77+BD77+BE77+BG77+BJ77+BN77+BP77+BQ77+CB77+CC77+CD77)</f>
        <v>3658</v>
      </c>
      <c r="H612" s="197">
        <f>CE60-(AX60+AY60+AZ60+BD60+BE60+BG60+BJ60+BN60+BO60+BP60+BQ60+BR60+CB60+CC60+CD60)</f>
        <v>155.57000000000002</v>
      </c>
      <c r="I612" s="180">
        <f>CE78-(AX78+AY78+AZ78+BD78+BE78+BF78+BG78+BJ78+BN78+BO78+BP78+BQ78+BR78+CB78+CC78+CD78)</f>
        <v>32988</v>
      </c>
      <c r="J612" s="180">
        <f>CE79-(AX79+AY79+AZ79+BA79+BD79+BE79+BF79+BG79+BJ79+BN79+BO79+BP79+BQ79+BR79+CB79+CC79+CD79)</f>
        <v>8091</v>
      </c>
      <c r="K612" s="180">
        <f>CE75-(AW75+AX75+AY75+AZ75+BA75+BB75+BC75+BD75+BE75+BF75+BG75+BH75+BI75+BJ75+BK75+BL75+BM75+BN75+BO75+BP75+BQ75+BR75+BS75+BT75+BU75+BV75+BW75+BX75+CB75+CC75+CD75)</f>
        <v>42517945.129999988</v>
      </c>
      <c r="L612" s="197">
        <f>CE80-(AW80+AX80+AY80+AZ80+BA80+BB80+BC80+BD80+BE80+BF80+BG80+BH80+BI80+BJ80+BK80+BL80+BM80+BN80+BO80+BP80+BQ80+BR80+BS80+BT80+BU80+BV80+BW80+BX80+BY80+BZ80+CA80+CB80+CC80+CD80)</f>
        <v>25.439999999999998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915808.49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0</v>
      </c>
      <c r="D615" s="266">
        <f>SUM(C614:C615)</f>
        <v>915808.49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285806.14</v>
      </c>
      <c r="D617" s="180">
        <f>(D615/D612)*BJ76</f>
        <v>12313.509719180976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3275217.6300000008</v>
      </c>
      <c r="D619" s="180">
        <f>(D615/D612)*BN76</f>
        <v>76924.254288540586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65743.929999999993</v>
      </c>
      <c r="D620" s="180">
        <f>(D615/D612)*CC76</f>
        <v>10114.668697898658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3726120.1327056214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73580.73</v>
      </c>
      <c r="D624" s="180">
        <f>(D615/D612)*BD76</f>
        <v>15532.612974338288</v>
      </c>
      <c r="E624" s="180">
        <f>(E623/E612)*SUM(C624:D624)</f>
        <v>15679.164831209522</v>
      </c>
      <c r="F624" s="180">
        <f>SUM(C624:E624)</f>
        <v>104792.50780554781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510501.49000000005</v>
      </c>
      <c r="D625" s="180">
        <f>(D615/D612)*AY76</f>
        <v>21144.055260650763</v>
      </c>
      <c r="E625" s="180">
        <f>(E623/E612)*SUM(C625:D625)</f>
        <v>93541.077662415046</v>
      </c>
      <c r="F625" s="180">
        <f>(F624/F612)*AY64</f>
        <v>10572.952858461007</v>
      </c>
      <c r="G625" s="180">
        <f>SUM(C625:F625)</f>
        <v>635759.57578152686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18769.30695766586</v>
      </c>
      <c r="E628" s="180">
        <f>(E623/E612)*SUM(C628:D628)</f>
        <v>3302.3905033116725</v>
      </c>
      <c r="F628" s="180">
        <f>(F624/F612)*AZ64</f>
        <v>0</v>
      </c>
      <c r="G628" s="180">
        <f>(G625/G612)*AZ77</f>
        <v>0</v>
      </c>
      <c r="H628" s="180">
        <f>SUM(C626:G628)</f>
        <v>22071.697460977532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549918.71999999997</v>
      </c>
      <c r="D629" s="180">
        <f>(D615/D612)*BF76</f>
        <v>23430.849922784371</v>
      </c>
      <c r="E629" s="180">
        <f>(E623/E612)*SUM(C629:D629)</f>
        <v>100878.74736459102</v>
      </c>
      <c r="F629" s="180">
        <f>(F624/F612)*BF64</f>
        <v>2715.0730402010909</v>
      </c>
      <c r="G629" s="180">
        <f>(G625/G612)*BF77</f>
        <v>0</v>
      </c>
      <c r="H629" s="180">
        <f>(H628/H612)*BF60</f>
        <v>1335.0560719148843</v>
      </c>
      <c r="I629" s="180">
        <f>SUM(C629:H629)</f>
        <v>678278.44639949128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112010.22</v>
      </c>
      <c r="D631" s="180">
        <f>(D615/D612)*AW76</f>
        <v>0</v>
      </c>
      <c r="E631" s="180">
        <f>(E623/E612)*SUM(C631:D631)</f>
        <v>19707.786101861053</v>
      </c>
      <c r="F631" s="180">
        <f>(F624/F612)*AW64</f>
        <v>164.06966118861882</v>
      </c>
      <c r="G631" s="180">
        <f>(G625/G612)*AW77</f>
        <v>0</v>
      </c>
      <c r="H631" s="180">
        <f>(H628/H612)*AW60</f>
        <v>123.43238922061097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15549.59</v>
      </c>
      <c r="D633" s="180">
        <f>(D615/D612)*BC76</f>
        <v>0</v>
      </c>
      <c r="E633" s="180">
        <f>(E623/E612)*SUM(C633:D633)</f>
        <v>2735.8931505682035</v>
      </c>
      <c r="F633" s="180">
        <f>(F624/F612)*BC64</f>
        <v>184.09881061786544</v>
      </c>
      <c r="G633" s="180">
        <f>(G625/G612)*BC77</f>
        <v>0</v>
      </c>
      <c r="H633" s="180">
        <f>(H628/H612)*BC60</f>
        <v>52.494234496121912</v>
      </c>
      <c r="I633" s="180">
        <f>(I629/I612)*BC78</f>
        <v>1459.8572115424965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863509.39999999991</v>
      </c>
      <c r="D635" s="180">
        <f>(D615/D612)*BK76</f>
        <v>30431.959734547268</v>
      </c>
      <c r="E635" s="180">
        <f>(E623/E612)*SUM(C635:D635)</f>
        <v>157285.69326312619</v>
      </c>
      <c r="F635" s="180">
        <f>(F624/F612)*BK64</f>
        <v>671.38418475684659</v>
      </c>
      <c r="G635" s="180">
        <f>(G625/G612)*BK77</f>
        <v>0</v>
      </c>
      <c r="H635" s="180">
        <f>(H628/H612)*BK60</f>
        <v>1275.4680219463135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898886.87</v>
      </c>
      <c r="D636" s="180">
        <f>(D615/D612)*BH76</f>
        <v>27635.033955476159</v>
      </c>
      <c r="E636" s="180">
        <f>(E623/E612)*SUM(C636:D636)</f>
        <v>163018.1201487112</v>
      </c>
      <c r="F636" s="180">
        <f>(F624/F612)*BH64</f>
        <v>2537.3263886385098</v>
      </c>
      <c r="G636" s="180">
        <f>(G625/G612)*BH77</f>
        <v>0</v>
      </c>
      <c r="H636" s="180">
        <f>(H628/H612)*BH60</f>
        <v>1113.7290291744782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226386.27999999997</v>
      </c>
      <c r="D637" s="180">
        <f>(D615/D612)*BL76</f>
        <v>7212.1985498060003</v>
      </c>
      <c r="E637" s="180">
        <f>(E623/E612)*SUM(C637:D637)</f>
        <v>41100.792847114782</v>
      </c>
      <c r="F637" s="180">
        <f>(F624/F612)*BL64</f>
        <v>674.64695462042118</v>
      </c>
      <c r="G637" s="180">
        <f>(G625/G612)*BL77</f>
        <v>0</v>
      </c>
      <c r="H637" s="180">
        <f>(H628/H612)*BL60</f>
        <v>783.1572281583592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270377.97000000003</v>
      </c>
      <c r="D642" s="180">
        <f>(D615/D612)*BV76</f>
        <v>18136.040743536552</v>
      </c>
      <c r="E642" s="180">
        <f>(E623/E612)*SUM(C642:D642)</f>
        <v>50762.978691798482</v>
      </c>
      <c r="F642" s="180">
        <f>(F624/F612)*BV64</f>
        <v>227.21972173032927</v>
      </c>
      <c r="G642" s="180">
        <f>(G625/G612)*BV77</f>
        <v>0</v>
      </c>
      <c r="H642" s="180">
        <f>(H628/H612)*BV60</f>
        <v>614.32441991407529</v>
      </c>
      <c r="I642" s="180">
        <f>(I629/I612)*BV78</f>
        <v>2405.6801936686211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904.70024377281482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2917938.4158799928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332250.62</v>
      </c>
      <c r="D645" s="180">
        <f>(D615/D612)*BY76</f>
        <v>1970.1615550689562</v>
      </c>
      <c r="E645" s="180">
        <f>(E623/E612)*SUM(C645:D645)</f>
        <v>58804.916852088383</v>
      </c>
      <c r="F645" s="180">
        <f>(F624/F612)*BY64</f>
        <v>27.669279189807796</v>
      </c>
      <c r="G645" s="180">
        <f>(G625/G612)*BY77</f>
        <v>0</v>
      </c>
      <c r="H645" s="180">
        <f>(H628/H612)*BY60</f>
        <v>388.74108789020011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393442.10877423728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8395548.0800000001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3165876.1799999997</v>
      </c>
      <c r="D670" s="180">
        <f>(D615/D612)*E76</f>
        <v>98367.351928085729</v>
      </c>
      <c r="E670" s="180">
        <f>(E623/E612)*SUM(C670:D670)</f>
        <v>574331.63966307859</v>
      </c>
      <c r="F670" s="180">
        <f>(F624/F612)*E64</f>
        <v>6826.3572011035221</v>
      </c>
      <c r="G670" s="180">
        <f>(G625/G612)*E77</f>
        <v>635759.57578152686</v>
      </c>
      <c r="H670" s="180">
        <f>(H628/H612)*E60</f>
        <v>3048.9218900585397</v>
      </c>
      <c r="I670" s="180">
        <f>(I629/I612)*E78</f>
        <v>106178.91042824581</v>
      </c>
      <c r="J670" s="180">
        <f>(J630/J612)*E79</f>
        <v>0</v>
      </c>
      <c r="K670" s="180">
        <f>(K644/K612)*E75</f>
        <v>161640.96089221479</v>
      </c>
      <c r="L670" s="180">
        <f>(L647/L612)*E80</f>
        <v>104856.03370634156</v>
      </c>
      <c r="M670" s="180">
        <f t="shared" si="20"/>
        <v>1691010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444706.59</v>
      </c>
      <c r="D678" s="180">
        <f>(D615/D612)*M76</f>
        <v>0</v>
      </c>
      <c r="E678" s="180">
        <f>(E623/E612)*SUM(C678:D678)</f>
        <v>78244.48834943831</v>
      </c>
      <c r="F678" s="180">
        <f>(F624/F612)*M64</f>
        <v>2769.0694045765067</v>
      </c>
      <c r="G678" s="180">
        <f>(G625/G612)*M77</f>
        <v>0</v>
      </c>
      <c r="H678" s="180">
        <f>(H628/H612)*M60</f>
        <v>760.4570186465229</v>
      </c>
      <c r="I678" s="180">
        <f>(I629/I612)*M78</f>
        <v>0</v>
      </c>
      <c r="J678" s="180">
        <f>(J630/J612)*M79</f>
        <v>0</v>
      </c>
      <c r="K678" s="180">
        <f>(K644/K612)*M75</f>
        <v>82698.973152860985</v>
      </c>
      <c r="L678" s="180">
        <f>(L647/L612)*M80</f>
        <v>45159.235755533526</v>
      </c>
      <c r="M678" s="180">
        <f t="shared" si="20"/>
        <v>209632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190231.18</v>
      </c>
      <c r="D679" s="180">
        <f>(D615/D612)*N76</f>
        <v>0</v>
      </c>
      <c r="E679" s="180">
        <f>(E623/E612)*SUM(C679:D679)</f>
        <v>33470.476223907317</v>
      </c>
      <c r="F679" s="180">
        <f>(F624/F612)*N64</f>
        <v>73.473908887226528</v>
      </c>
      <c r="G679" s="180">
        <f>(G625/G612)*N77</f>
        <v>0</v>
      </c>
      <c r="H679" s="180">
        <f>(H628/H612)*N60</f>
        <v>188.69549156714092</v>
      </c>
      <c r="I679" s="180">
        <f>(I629/I612)*N78</f>
        <v>0</v>
      </c>
      <c r="J679" s="180">
        <f>(J630/J612)*N79</f>
        <v>0</v>
      </c>
      <c r="K679" s="180">
        <f>(K644/K612)*N75</f>
        <v>17390.778929114957</v>
      </c>
      <c r="L679" s="180">
        <f>(L647/L612)*N80</f>
        <v>0</v>
      </c>
      <c r="M679" s="180">
        <f t="shared" si="20"/>
        <v>51123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1856864.65</v>
      </c>
      <c r="D681" s="180">
        <f>(D615/D612)*P76</f>
        <v>100108.83401694133</v>
      </c>
      <c r="E681" s="180">
        <f>(E623/E612)*SUM(C681:D681)</f>
        <v>344322.28443100705</v>
      </c>
      <c r="F681" s="180">
        <f>(F624/F612)*P64</f>
        <v>18596.768021046544</v>
      </c>
      <c r="G681" s="180">
        <f>(G625/G612)*P77</f>
        <v>0</v>
      </c>
      <c r="H681" s="180">
        <f>(H628/H612)*P60</f>
        <v>1211.6236826942732</v>
      </c>
      <c r="I681" s="180">
        <f>(I629/I612)*P78</f>
        <v>0</v>
      </c>
      <c r="J681" s="180">
        <f>(J630/J612)*P79</f>
        <v>0</v>
      </c>
      <c r="K681" s="180">
        <f>(K644/K612)*P75</f>
        <v>320092.72586396459</v>
      </c>
      <c r="L681" s="180">
        <f>(L647/L612)*P80</f>
        <v>40828.898080345389</v>
      </c>
      <c r="M681" s="180">
        <f t="shared" si="20"/>
        <v>825161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330323.83000000007</v>
      </c>
      <c r="D683" s="180">
        <f>(D615/D612)*R76</f>
        <v>0</v>
      </c>
      <c r="E683" s="180">
        <f>(E623/E612)*SUM(C683:D683)</f>
        <v>58119.262563608165</v>
      </c>
      <c r="F683" s="180">
        <f>(F624/F612)*R64</f>
        <v>1006.6722800871232</v>
      </c>
      <c r="G683" s="180">
        <f>(G625/G612)*R77</f>
        <v>0</v>
      </c>
      <c r="H683" s="180">
        <f>(H628/H612)*R60</f>
        <v>283.75261889795627</v>
      </c>
      <c r="I683" s="180">
        <f>(I629/I612)*R78</f>
        <v>0</v>
      </c>
      <c r="J683" s="180">
        <f>(J630/J612)*R79</f>
        <v>0</v>
      </c>
      <c r="K683" s="180">
        <f>(K644/K612)*R75</f>
        <v>32055.569302978929</v>
      </c>
      <c r="L683" s="180">
        <f>(L647/L612)*R80</f>
        <v>30930.983394201048</v>
      </c>
      <c r="M683" s="180">
        <f t="shared" si="20"/>
        <v>122396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1446825.3</v>
      </c>
      <c r="D686" s="180">
        <f>(D615/D612)*U76</f>
        <v>31381.859055741228</v>
      </c>
      <c r="E686" s="180">
        <f>(E623/E612)*SUM(C686:D686)</f>
        <v>260085.11102746025</v>
      </c>
      <c r="F686" s="180">
        <f>(F624/F612)*U64</f>
        <v>29062.912360828253</v>
      </c>
      <c r="G686" s="180">
        <f>(G625/G612)*U77</f>
        <v>0</v>
      </c>
      <c r="H686" s="180">
        <f>(H628/H612)*U60</f>
        <v>1264.1179171903952</v>
      </c>
      <c r="I686" s="180">
        <f>(I629/I612)*U78</f>
        <v>0</v>
      </c>
      <c r="J686" s="180">
        <f>(J630/J612)*U79</f>
        <v>0</v>
      </c>
      <c r="K686" s="180">
        <f>(K644/K612)*U75</f>
        <v>339190.07066921989</v>
      </c>
      <c r="L686" s="180">
        <f>(L647/L612)*U80</f>
        <v>0</v>
      </c>
      <c r="M686" s="180">
        <f t="shared" si="20"/>
        <v>660984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296925.83</v>
      </c>
      <c r="D688" s="180">
        <f>(D615/D612)*W76</f>
        <v>0</v>
      </c>
      <c r="E688" s="180">
        <f>(E623/E612)*SUM(C688:D688)</f>
        <v>52243.007341272591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102399.67617672976</v>
      </c>
      <c r="L688" s="180">
        <f>(L647/L612)*W80</f>
        <v>0</v>
      </c>
      <c r="M688" s="180">
        <f t="shared" si="20"/>
        <v>154643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272720.7</v>
      </c>
      <c r="D689" s="180">
        <f>(D615/D612)*X76</f>
        <v>10923.842193730552</v>
      </c>
      <c r="E689" s="180">
        <f>(E623/E612)*SUM(C689:D689)</f>
        <v>49906.213616171306</v>
      </c>
      <c r="F689" s="180">
        <f>(F624/F612)*X64</f>
        <v>923.69992196020485</v>
      </c>
      <c r="G689" s="180">
        <f>(G625/G612)*X77</f>
        <v>0</v>
      </c>
      <c r="H689" s="180">
        <f>(H628/H612)*X60</f>
        <v>97.8946535197949</v>
      </c>
      <c r="I689" s="180">
        <f>(I629/I612)*X78</f>
        <v>0</v>
      </c>
      <c r="J689" s="180">
        <f>(J630/J612)*X79</f>
        <v>0</v>
      </c>
      <c r="K689" s="180">
        <f>(K644/K612)*X75</f>
        <v>282108.00620649033</v>
      </c>
      <c r="L689" s="180">
        <f>(L647/L612)*X80</f>
        <v>0</v>
      </c>
      <c r="M689" s="180">
        <f t="shared" si="20"/>
        <v>343960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1164612.3700000001</v>
      </c>
      <c r="D690" s="180">
        <f>(D615/D612)*Y76</f>
        <v>39702.273480273514</v>
      </c>
      <c r="E690" s="180">
        <f>(E623/E612)*SUM(C690:D690)</f>
        <v>211894.73061519105</v>
      </c>
      <c r="F690" s="180">
        <f>(F624/F612)*Y64</f>
        <v>2107.99634911975</v>
      </c>
      <c r="G690" s="180">
        <f>(G625/G612)*Y77</f>
        <v>0</v>
      </c>
      <c r="H690" s="180">
        <f>(H628/H612)*Y60</f>
        <v>1291.0744159857011</v>
      </c>
      <c r="I690" s="180">
        <f>(I629/I612)*Y78</f>
        <v>0</v>
      </c>
      <c r="J690" s="180">
        <f>(J630/J612)*Y79</f>
        <v>0</v>
      </c>
      <c r="K690" s="180">
        <f>(K644/K612)*Y75</f>
        <v>284969.59280728706</v>
      </c>
      <c r="L690" s="180">
        <f>(L647/L612)*Y80</f>
        <v>0</v>
      </c>
      <c r="M690" s="180">
        <f t="shared" si="20"/>
        <v>539966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340013.29999999993</v>
      </c>
      <c r="D693" s="180">
        <f>(D615/D612)*AB76</f>
        <v>4204.18403269179</v>
      </c>
      <c r="E693" s="180">
        <f>(E623/E612)*SUM(C693:D693)</f>
        <v>60563.79987323533</v>
      </c>
      <c r="F693" s="180">
        <f>(F624/F612)*AB64</f>
        <v>8030.2509995712635</v>
      </c>
      <c r="G693" s="180">
        <f>(G625/G612)*AB77</f>
        <v>0</v>
      </c>
      <c r="H693" s="180">
        <f>(H628/H612)*AB60</f>
        <v>39.725366645713883</v>
      </c>
      <c r="I693" s="180">
        <f>(I629/I612)*AB78</f>
        <v>0</v>
      </c>
      <c r="J693" s="180">
        <f>(J630/J612)*AB79</f>
        <v>0</v>
      </c>
      <c r="K693" s="180">
        <f>(K644/K612)*AB75</f>
        <v>83797.118779828932</v>
      </c>
      <c r="L693" s="180">
        <f>(L647/L612)*AB80</f>
        <v>0</v>
      </c>
      <c r="M693" s="180">
        <f t="shared" si="20"/>
        <v>156635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82223.47</v>
      </c>
      <c r="D694" s="180">
        <f>(D615/D612)*AC76</f>
        <v>6016.0290342284197</v>
      </c>
      <c r="E694" s="180">
        <f>(E623/E612)*SUM(C694:D694)</f>
        <v>15525.415204987085</v>
      </c>
      <c r="F694" s="180">
        <f>(F624/F612)*AC64</f>
        <v>622.63610017839869</v>
      </c>
      <c r="G694" s="180">
        <f>(G625/G612)*AC77</f>
        <v>0</v>
      </c>
      <c r="H694" s="180">
        <f>(H628/H612)*AC60</f>
        <v>106.4072320867336</v>
      </c>
      <c r="I694" s="180">
        <f>(I629/I612)*AC78</f>
        <v>0</v>
      </c>
      <c r="J694" s="180">
        <f>(J630/J612)*AC79</f>
        <v>0</v>
      </c>
      <c r="K694" s="180">
        <f>(K644/K612)*AC75</f>
        <v>12558.002902662311</v>
      </c>
      <c r="L694" s="180">
        <f>(L647/L612)*AC80</f>
        <v>0</v>
      </c>
      <c r="M694" s="180">
        <f t="shared" si="20"/>
        <v>34828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615792.84000000008</v>
      </c>
      <c r="D696" s="180">
        <f>(D615/D612)*AE76</f>
        <v>81110.847593062106</v>
      </c>
      <c r="E696" s="180">
        <f>(E623/E612)*SUM(C696:D696)</f>
        <v>122617.63978931804</v>
      </c>
      <c r="F696" s="180">
        <f>(F624/F612)*AE64</f>
        <v>946.09146672153076</v>
      </c>
      <c r="G696" s="180">
        <f>(G625/G612)*AE77</f>
        <v>0</v>
      </c>
      <c r="H696" s="180">
        <f>(H628/H612)*AE60</f>
        <v>878.21435548917475</v>
      </c>
      <c r="I696" s="180">
        <f>(I629/I612)*AE78</f>
        <v>0</v>
      </c>
      <c r="J696" s="180">
        <f>(J630/J612)*AE79</f>
        <v>0</v>
      </c>
      <c r="K696" s="180">
        <f>(K644/K612)*AE75</f>
        <v>91233.514812066889</v>
      </c>
      <c r="L696" s="180">
        <f>(L647/L612)*AE80</f>
        <v>0</v>
      </c>
      <c r="M696" s="180">
        <f t="shared" si="20"/>
        <v>296786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2216759.4700000002</v>
      </c>
      <c r="D698" s="180">
        <f>(D615/D612)*AG76</f>
        <v>36131.355661711037</v>
      </c>
      <c r="E698" s="180">
        <f>(E623/E612)*SUM(C698:D698)</f>
        <v>396387.85195659957</v>
      </c>
      <c r="F698" s="180">
        <f>(F624/F612)*AG64</f>
        <v>5474.6460038082341</v>
      </c>
      <c r="G698" s="180">
        <f>(G625/G612)*AG77</f>
        <v>0</v>
      </c>
      <c r="H698" s="180">
        <f>(H628/H612)*AG60</f>
        <v>2643.1556450344624</v>
      </c>
      <c r="I698" s="180">
        <f>(I629/I612)*AG78</f>
        <v>0</v>
      </c>
      <c r="J698" s="180">
        <f>(J630/J612)*AG79</f>
        <v>0</v>
      </c>
      <c r="K698" s="180">
        <f>(K644/K612)*AG75</f>
        <v>751824.22378520074</v>
      </c>
      <c r="L698" s="180">
        <f>(L647/L612)*AG80</f>
        <v>135941.6720175136</v>
      </c>
      <c r="M698" s="180">
        <f t="shared" si="20"/>
        <v>1328403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3687797.81</v>
      </c>
      <c r="D701" s="180">
        <f>(D615/D612)*AJ76</f>
        <v>226885.2119399946</v>
      </c>
      <c r="E701" s="180">
        <f>(E623/E612)*SUM(C701:D701)</f>
        <v>688774.07483871072</v>
      </c>
      <c r="F701" s="180">
        <f>(F624/F612)*AJ64</f>
        <v>9898.7323265740888</v>
      </c>
      <c r="G701" s="180">
        <f>(G625/G612)*AJ77</f>
        <v>0</v>
      </c>
      <c r="H701" s="180">
        <f>(H628/H612)*AJ60</f>
        <v>3949.8364550595511</v>
      </c>
      <c r="I701" s="180">
        <f>(I629/I612)*AJ78</f>
        <v>0</v>
      </c>
      <c r="J701" s="180">
        <f>(J630/J612)*AJ79</f>
        <v>0</v>
      </c>
      <c r="K701" s="180">
        <f>(K644/K612)*AJ75</f>
        <v>349577.7506170682</v>
      </c>
      <c r="L701" s="180">
        <f>(L647/L612)*AJ80</f>
        <v>16857.385949839572</v>
      </c>
      <c r="M701" s="180">
        <f t="shared" si="20"/>
        <v>1295943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567329.29832226154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567329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396494.71999999991</v>
      </c>
      <c r="D709" s="180">
        <f>(D615/D612)*AR76</f>
        <v>17362.048704045177</v>
      </c>
      <c r="E709" s="180">
        <f>(E623/E612)*SUM(C709:D709)</f>
        <v>72816.575794840013</v>
      </c>
      <c r="F709" s="180">
        <f>(F624/F612)*AR64</f>
        <v>678.76056168067259</v>
      </c>
      <c r="G709" s="180">
        <f>(G625/G612)*AR77</f>
        <v>0</v>
      </c>
      <c r="H709" s="180">
        <f>(H628/H612)*AR60</f>
        <v>621.4182353865242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18867.899870462639</v>
      </c>
      <c r="M709" s="180">
        <f t="shared" si="20"/>
        <v>110347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6401.4509823052258</v>
      </c>
      <c r="L713" s="180">
        <f>(L647/L612)*AV80</f>
        <v>0</v>
      </c>
      <c r="M713" s="180">
        <f t="shared" si="20"/>
        <v>6401</v>
      </c>
      <c r="N713" s="199" t="s">
        <v>741</v>
      </c>
    </row>
    <row r="715" spans="1:83" ht="12.6" customHeight="1" x14ac:dyDescent="0.25">
      <c r="C715" s="180">
        <f>SUM(C614:C647)+SUM(C668:C713)</f>
        <v>24903716.32</v>
      </c>
      <c r="D715" s="180">
        <f>SUM(D616:D647)+SUM(D668:D713)</f>
        <v>915808.48999999976</v>
      </c>
      <c r="E715" s="180">
        <f>SUM(E624:E647)+SUM(E668:E713)</f>
        <v>3726120.1327056214</v>
      </c>
      <c r="F715" s="180">
        <f>SUM(F625:F648)+SUM(F668:F713)</f>
        <v>104792.50780554779</v>
      </c>
      <c r="G715" s="180">
        <f>SUM(G626:G647)+SUM(G668:G713)</f>
        <v>635759.57578152686</v>
      </c>
      <c r="H715" s="180">
        <f>SUM(H629:H647)+SUM(H668:H713)</f>
        <v>22071.697460977528</v>
      </c>
      <c r="I715" s="180">
        <f>SUM(I630:I647)+SUM(I668:I713)</f>
        <v>678278.44639949128</v>
      </c>
      <c r="J715" s="180">
        <f>SUM(J631:J647)+SUM(J668:J713)</f>
        <v>0</v>
      </c>
      <c r="K715" s="180">
        <f>SUM(K668:K713)</f>
        <v>2917938.4158799942</v>
      </c>
      <c r="L715" s="180">
        <f>SUM(L668:L713)</f>
        <v>393442.10877423733</v>
      </c>
      <c r="M715" s="180">
        <f>SUM(M668:M713)</f>
        <v>8395547</v>
      </c>
      <c r="N715" s="198" t="s">
        <v>742</v>
      </c>
    </row>
    <row r="716" spans="1:83" ht="12.6" customHeight="1" x14ac:dyDescent="0.25">
      <c r="C716" s="180">
        <f>CE71</f>
        <v>24903716.32</v>
      </c>
      <c r="D716" s="180">
        <f>D615</f>
        <v>915808.49</v>
      </c>
      <c r="E716" s="180">
        <f>E623</f>
        <v>3726120.1327056214</v>
      </c>
      <c r="F716" s="180">
        <f>F624</f>
        <v>104792.50780554781</v>
      </c>
      <c r="G716" s="180">
        <f>G625</f>
        <v>635759.57578152686</v>
      </c>
      <c r="H716" s="180">
        <f>H628</f>
        <v>22071.697460977532</v>
      </c>
      <c r="I716" s="180">
        <f>I629</f>
        <v>678278.44639949128</v>
      </c>
      <c r="J716" s="180">
        <f>J630</f>
        <v>0</v>
      </c>
      <c r="K716" s="180">
        <f>K644</f>
        <v>2917938.4158799928</v>
      </c>
      <c r="L716" s="180">
        <f>L647</f>
        <v>393442.10877423728</v>
      </c>
      <c r="M716" s="180">
        <f>C648</f>
        <v>8395548.0800000001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008*2018*A</v>
      </c>
      <c r="B722" s="276">
        <f>ROUND(C165,0)</f>
        <v>874582</v>
      </c>
      <c r="C722" s="276">
        <f>ROUND(C166,0)</f>
        <v>14275</v>
      </c>
      <c r="D722" s="276">
        <f>ROUND(C167,0)</f>
        <v>25073</v>
      </c>
      <c r="E722" s="276">
        <f>ROUND(C168,0)</f>
        <v>1713883</v>
      </c>
      <c r="F722" s="276">
        <f>ROUND(C169,0)</f>
        <v>12916</v>
      </c>
      <c r="G722" s="276">
        <f>ROUND(C170,0)</f>
        <v>290195</v>
      </c>
      <c r="H722" s="276">
        <f>ROUND(C171+C172,0)</f>
        <v>22951</v>
      </c>
      <c r="I722" s="276">
        <f>ROUND(C175,0)</f>
        <v>0</v>
      </c>
      <c r="J722" s="276">
        <f>ROUND(C176,0)</f>
        <v>387697</v>
      </c>
      <c r="K722" s="276">
        <f>ROUND(C179,0)</f>
        <v>115368</v>
      </c>
      <c r="L722" s="276">
        <f>ROUND(C180,0)</f>
        <v>51091</v>
      </c>
      <c r="M722" s="276">
        <f>ROUND(C183,0)</f>
        <v>0</v>
      </c>
      <c r="N722" s="276">
        <f>ROUND(C184,0)</f>
        <v>0</v>
      </c>
      <c r="O722" s="276">
        <f>ROUND(C185,0)</f>
        <v>0</v>
      </c>
      <c r="P722" s="276">
        <f>ROUND(C188,0)</f>
        <v>0</v>
      </c>
      <c r="Q722" s="276">
        <f>ROUND(C189,0)</f>
        <v>291209</v>
      </c>
      <c r="R722" s="276">
        <f>ROUND(B195,0)</f>
        <v>203706</v>
      </c>
      <c r="S722" s="276">
        <f>ROUND(C195,0)</f>
        <v>0</v>
      </c>
      <c r="T722" s="276">
        <f>ROUND(D195,0)</f>
        <v>0</v>
      </c>
      <c r="U722" s="276">
        <f>ROUND(B196,0)</f>
        <v>1731953</v>
      </c>
      <c r="V722" s="276">
        <f>ROUND(C196,0)</f>
        <v>3458</v>
      </c>
      <c r="W722" s="276">
        <f>ROUND(D196,0)</f>
        <v>0</v>
      </c>
      <c r="X722" s="276">
        <f>ROUND(B197,0)</f>
        <v>13285373</v>
      </c>
      <c r="Y722" s="276">
        <f>ROUND(C197,0)</f>
        <v>156427</v>
      </c>
      <c r="Z722" s="276">
        <f>ROUND(D197,0)</f>
        <v>0</v>
      </c>
      <c r="AA722" s="276">
        <f>ROUND(B198,0)</f>
        <v>5936846</v>
      </c>
      <c r="AB722" s="276">
        <f>ROUND(C198,0)</f>
        <v>748812</v>
      </c>
      <c r="AC722" s="276">
        <f>ROUND(D198,0)</f>
        <v>0</v>
      </c>
      <c r="AD722" s="276">
        <f>ROUND(B199,0)</f>
        <v>230743</v>
      </c>
      <c r="AE722" s="276">
        <f>ROUND(C199,0)</f>
        <v>0</v>
      </c>
      <c r="AF722" s="276">
        <f>ROUND(D199,0)</f>
        <v>0</v>
      </c>
      <c r="AG722" s="276">
        <f>ROUND(B200,0)</f>
        <v>6569388</v>
      </c>
      <c r="AH722" s="276">
        <f>ROUND(C200,0)</f>
        <v>198120</v>
      </c>
      <c r="AI722" s="276">
        <f>ROUND(D200,0)</f>
        <v>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0</v>
      </c>
      <c r="AN722" s="276">
        <f>ROUND(C202,0)</f>
        <v>0</v>
      </c>
      <c r="AO722" s="276">
        <f>ROUND(D202,0)</f>
        <v>0</v>
      </c>
      <c r="AP722" s="276">
        <f>ROUND(B203,0)</f>
        <v>358994</v>
      </c>
      <c r="AQ722" s="276">
        <f>ROUND(C203,0)</f>
        <v>1622631</v>
      </c>
      <c r="AR722" s="276">
        <f>ROUND(D203,0)</f>
        <v>1804930</v>
      </c>
      <c r="AS722" s="276"/>
      <c r="AT722" s="276"/>
      <c r="AU722" s="276"/>
      <c r="AV722" s="276">
        <f>ROUND(B209,0)</f>
        <v>1131320</v>
      </c>
      <c r="AW722" s="276">
        <f>ROUND(C209,0)</f>
        <v>105258</v>
      </c>
      <c r="AX722" s="276">
        <f>ROUND(D209,0)</f>
        <v>0</v>
      </c>
      <c r="AY722" s="276">
        <f>ROUND(B210,0)</f>
        <v>6979609</v>
      </c>
      <c r="AZ722" s="276">
        <f>ROUND(C210,0)</f>
        <v>375360</v>
      </c>
      <c r="BA722" s="276">
        <f>ROUND(D210,0)</f>
        <v>0</v>
      </c>
      <c r="BB722" s="276">
        <f>ROUND(B211,0)</f>
        <v>3638963</v>
      </c>
      <c r="BC722" s="276">
        <f>ROUND(C211,0)</f>
        <v>325690</v>
      </c>
      <c r="BD722" s="276">
        <f>ROUND(D211,0)</f>
        <v>0</v>
      </c>
      <c r="BE722" s="276">
        <f>ROUND(B212,0)</f>
        <v>218775</v>
      </c>
      <c r="BF722" s="276">
        <f>ROUND(C212,0)</f>
        <v>3712</v>
      </c>
      <c r="BG722" s="276">
        <f>ROUND(D212,0)</f>
        <v>0</v>
      </c>
      <c r="BH722" s="276">
        <f>ROUND(B213,0)</f>
        <v>5362755</v>
      </c>
      <c r="BI722" s="276">
        <f>ROUND(C213,0)</f>
        <v>396069</v>
      </c>
      <c r="BJ722" s="276">
        <f>ROUND(D213,0)</f>
        <v>0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8985687</v>
      </c>
      <c r="BU722" s="276">
        <f>ROUND(C224,0)</f>
        <v>5878910</v>
      </c>
      <c r="BV722" s="276">
        <f>ROUND(C225,0)</f>
        <v>5894</v>
      </c>
      <c r="BW722" s="276">
        <f>ROUND(C226,0)</f>
        <v>0</v>
      </c>
      <c r="BX722" s="276">
        <f>ROUND(C227,0)</f>
        <v>0</v>
      </c>
      <c r="BY722" s="276">
        <f>ROUND(C228,0)</f>
        <v>3053793</v>
      </c>
      <c r="BZ722" s="276">
        <f>ROUND(C231,0)</f>
        <v>0</v>
      </c>
      <c r="CA722" s="276">
        <f>ROUND(C233,0)</f>
        <v>0</v>
      </c>
      <c r="CB722" s="276">
        <f>ROUND(C234,0)</f>
        <v>735317</v>
      </c>
      <c r="CC722" s="276">
        <f>ROUND(C238+C239,0)</f>
        <v>1036659</v>
      </c>
      <c r="CD722" s="276">
        <f>D221</f>
        <v>922343.11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008*2018*A</v>
      </c>
      <c r="B726" s="276">
        <f>ROUND(C111,0)</f>
        <v>141</v>
      </c>
      <c r="C726" s="276">
        <f>ROUND(C112,0)</f>
        <v>42</v>
      </c>
      <c r="D726" s="276">
        <f>ROUND(C113,0)</f>
        <v>0</v>
      </c>
      <c r="E726" s="276">
        <f>ROUND(C114,0)</f>
        <v>0</v>
      </c>
      <c r="F726" s="276">
        <f>ROUND(D111,0)</f>
        <v>397</v>
      </c>
      <c r="G726" s="276">
        <f>ROUND(D112,0)</f>
        <v>611</v>
      </c>
      <c r="H726" s="276">
        <f>ROUND(D113,0)</f>
        <v>0</v>
      </c>
      <c r="I726" s="276">
        <f>ROUND(D114,0)</f>
        <v>0</v>
      </c>
      <c r="J726" s="276">
        <f>ROUND(C116,0)</f>
        <v>0</v>
      </c>
      <c r="K726" s="276">
        <f>ROUND(C117,0)</f>
        <v>10</v>
      </c>
      <c r="L726" s="276">
        <f>ROUND(C118,0)</f>
        <v>0</v>
      </c>
      <c r="M726" s="276">
        <f>ROUND(C119,0)</f>
        <v>0</v>
      </c>
      <c r="N726" s="276">
        <f>ROUND(C120,0)</f>
        <v>0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7</v>
      </c>
      <c r="S726" s="276">
        <f>ROUND(C125,0)</f>
        <v>0</v>
      </c>
      <c r="T726" s="276"/>
      <c r="U726" s="276">
        <f>ROUND(C126,0)</f>
        <v>0</v>
      </c>
      <c r="V726" s="276">
        <f>ROUND(C128,0)</f>
        <v>25</v>
      </c>
      <c r="W726" s="276">
        <f>ROUND(C129,0)</f>
        <v>0</v>
      </c>
      <c r="X726" s="276">
        <f>ROUND(B138,0)</f>
        <v>110</v>
      </c>
      <c r="Y726" s="276">
        <f>ROUND(B139,0)</f>
        <v>304</v>
      </c>
      <c r="Z726" s="276">
        <f>ROUND(B140,0)</f>
        <v>0</v>
      </c>
      <c r="AA726" s="276">
        <f>ROUND(B141,0)</f>
        <v>1782658</v>
      </c>
      <c r="AB726" s="276">
        <f>ROUND(B142,0)</f>
        <v>18062898</v>
      </c>
      <c r="AC726" s="276">
        <f>ROUND(C138,0)</f>
        <v>17</v>
      </c>
      <c r="AD726" s="276">
        <f>ROUND(C139,0)</f>
        <v>45</v>
      </c>
      <c r="AE726" s="276">
        <f>ROUND(C140,0)</f>
        <v>0</v>
      </c>
      <c r="AF726" s="276">
        <f>ROUND(C141,0)</f>
        <v>335853</v>
      </c>
      <c r="AG726" s="276">
        <f>ROUND(C142,0)</f>
        <v>11518597</v>
      </c>
      <c r="AH726" s="276">
        <f>ROUND(D138,0)</f>
        <v>14</v>
      </c>
      <c r="AI726" s="276">
        <f>ROUND(D139,0)</f>
        <v>48</v>
      </c>
      <c r="AJ726" s="276">
        <f>ROUND(D140,0)</f>
        <v>0</v>
      </c>
      <c r="AK726" s="276">
        <f>ROUND(D141,0)</f>
        <v>407745</v>
      </c>
      <c r="AL726" s="276">
        <f>ROUND(D142,0)</f>
        <v>10410194</v>
      </c>
      <c r="AM726" s="276">
        <f>ROUND(B144,0)</f>
        <v>34</v>
      </c>
      <c r="AN726" s="276">
        <f>ROUND(B145,0)</f>
        <v>481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4</v>
      </c>
      <c r="AS726" s="276">
        <f>ROUND(C145,0)</f>
        <v>73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4</v>
      </c>
      <c r="AX726" s="276">
        <f>ROUND(D145,0)</f>
        <v>57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008*2018*A</v>
      </c>
      <c r="B730" s="276">
        <f>ROUND(C250,0)</f>
        <v>2384473</v>
      </c>
      <c r="C730" s="276">
        <f>ROUND(C251,0)</f>
        <v>0</v>
      </c>
      <c r="D730" s="276">
        <f>ROUND(C252,0)</f>
        <v>7261277</v>
      </c>
      <c r="E730" s="276">
        <f>ROUND(C253,0)</f>
        <v>3792882</v>
      </c>
      <c r="F730" s="276">
        <f>ROUND(C254,0)</f>
        <v>693127</v>
      </c>
      <c r="G730" s="276">
        <f>ROUND(C255,0)</f>
        <v>721693</v>
      </c>
      <c r="H730" s="276">
        <f>ROUND(C256,0)</f>
        <v>0</v>
      </c>
      <c r="I730" s="276">
        <f>ROUND(C257,0)</f>
        <v>224932</v>
      </c>
      <c r="J730" s="276">
        <f>ROUND(C258,0)</f>
        <v>298999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457652</v>
      </c>
      <c r="O730" s="276">
        <f>ROUND(C267,0)</f>
        <v>203706</v>
      </c>
      <c r="P730" s="276">
        <f>ROUND(C268,0)</f>
        <v>1735411</v>
      </c>
      <c r="Q730" s="276">
        <f>ROUND(C269,0)</f>
        <v>6685658</v>
      </c>
      <c r="R730" s="276">
        <f>ROUND(C270,0)</f>
        <v>13441796</v>
      </c>
      <c r="S730" s="276">
        <f>ROUND(C271,0)</f>
        <v>230743</v>
      </c>
      <c r="T730" s="276">
        <f>ROUND(C272,0)</f>
        <v>6767507</v>
      </c>
      <c r="U730" s="276">
        <f>ROUND(C273,0)</f>
        <v>0</v>
      </c>
      <c r="V730" s="276">
        <f>ROUND(C274,0)</f>
        <v>176694</v>
      </c>
      <c r="W730" s="276">
        <f>ROUND(C275,0)</f>
        <v>0</v>
      </c>
      <c r="X730" s="276">
        <f>ROUND(C276,0)</f>
        <v>18537512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0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292137</v>
      </c>
      <c r="AH730" s="276">
        <f>ROUND(C305,0)</f>
        <v>871037</v>
      </c>
      <c r="AI730" s="276">
        <f>ROUND(C306,0)</f>
        <v>1049919</v>
      </c>
      <c r="AJ730" s="276">
        <f>ROUND(C307,0)</f>
        <v>19822</v>
      </c>
      <c r="AK730" s="276">
        <f>ROUND(C308,0)</f>
        <v>0</v>
      </c>
      <c r="AL730" s="276">
        <f>ROUND(C309,0)</f>
        <v>1587988</v>
      </c>
      <c r="AM730" s="276">
        <f>ROUND(C310,0)</f>
        <v>0</v>
      </c>
      <c r="AN730" s="276">
        <f>ROUND(C311,0)</f>
        <v>18954</v>
      </c>
      <c r="AO730" s="276">
        <f>ROUND(C312,0)</f>
        <v>526075</v>
      </c>
      <c r="AP730" s="276">
        <f>ROUND(C313,0)</f>
        <v>847197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6310308</v>
      </c>
      <c r="AY730" s="276">
        <f>ROUND(C326,0)</f>
        <v>0</v>
      </c>
      <c r="AZ730" s="276">
        <f>ROUND(C327,0)</f>
        <v>88008</v>
      </c>
      <c r="BA730" s="276">
        <f>ROUND(C328,0)</f>
        <v>0</v>
      </c>
      <c r="BB730" s="276">
        <f>ROUND(C332,0)</f>
        <v>9005541</v>
      </c>
      <c r="BC730" s="276"/>
      <c r="BD730" s="276"/>
      <c r="BE730" s="276">
        <f>ROUND(C337,0)</f>
        <v>-816514</v>
      </c>
      <c r="BF730" s="276">
        <f>ROUND(C336,0)</f>
        <v>0</v>
      </c>
      <c r="BG730" s="276"/>
      <c r="BH730" s="276"/>
      <c r="BI730" s="276">
        <f>ROUND(CE60,2)</f>
        <v>186.86</v>
      </c>
      <c r="BJ730" s="276">
        <f>ROUND(C359,0)</f>
        <v>2705396</v>
      </c>
      <c r="BK730" s="276">
        <f>ROUND(C360,0)</f>
        <v>39812549</v>
      </c>
      <c r="BL730" s="276">
        <f>ROUND(C364,0)</f>
        <v>17924284</v>
      </c>
      <c r="BM730" s="276">
        <f>ROUND(C365,0)</f>
        <v>735317</v>
      </c>
      <c r="BN730" s="276">
        <f>ROUND(C366,0)</f>
        <v>1036659</v>
      </c>
      <c r="BO730" s="276">
        <f>ROUND(C370,0)</f>
        <v>0</v>
      </c>
      <c r="BP730" s="276">
        <f>ROUND(C371,0)</f>
        <v>0</v>
      </c>
      <c r="BQ730" s="276">
        <f>ROUND(C378,0)</f>
        <v>12960933</v>
      </c>
      <c r="BR730" s="276">
        <f>ROUND(C379,0)</f>
        <v>2953876</v>
      </c>
      <c r="BS730" s="276">
        <f>ROUND(C380,0)</f>
        <v>1315980</v>
      </c>
      <c r="BT730" s="276">
        <f>ROUND(C381,0)</f>
        <v>1696090</v>
      </c>
      <c r="BU730" s="276">
        <f>ROUND(C382,0)</f>
        <v>295942</v>
      </c>
      <c r="BV730" s="276">
        <f>ROUND(C383,0)</f>
        <v>2196476</v>
      </c>
      <c r="BW730" s="276">
        <f>ROUND(C384,0)</f>
        <v>1197226</v>
      </c>
      <c r="BX730" s="276">
        <f>ROUND(C385,0)</f>
        <v>387697</v>
      </c>
      <c r="BY730" s="276">
        <f>ROUND(C386,0)</f>
        <v>166459</v>
      </c>
      <c r="BZ730" s="276">
        <f>ROUND(C387,0)</f>
        <v>0</v>
      </c>
      <c r="CA730" s="276">
        <f>ROUND(C388,0)</f>
        <v>291209</v>
      </c>
      <c r="CB730" s="276">
        <f>C363</f>
        <v>922343.11</v>
      </c>
      <c r="CC730" s="276">
        <f>ROUND(C389,0)</f>
        <v>1441831</v>
      </c>
      <c r="CD730" s="276">
        <f>ROUND(C392,0)</f>
        <v>2187863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008*2018*6010*A</v>
      </c>
      <c r="B734" s="276">
        <f>ROUND(C59,0)</f>
        <v>0</v>
      </c>
      <c r="C734" s="276">
        <f>ROUND(C60,2)</f>
        <v>0</v>
      </c>
      <c r="D734" s="276">
        <f>ROUND(C61,0)</f>
        <v>0</v>
      </c>
      <c r="E734" s="276">
        <f>ROUND(C62,0)</f>
        <v>0</v>
      </c>
      <c r="F734" s="276">
        <f>ROUND(C63,0)</f>
        <v>0</v>
      </c>
      <c r="G734" s="276">
        <f>ROUND(C64,0)</f>
        <v>0</v>
      </c>
      <c r="H734" s="276">
        <f>ROUND(C65,0)</f>
        <v>0</v>
      </c>
      <c r="I734" s="276">
        <f>ROUND(C66,0)</f>
        <v>0</v>
      </c>
      <c r="J734" s="276">
        <f>ROUND(C67,0)</f>
        <v>0</v>
      </c>
      <c r="K734" s="276">
        <f>ROUND(C68,0)</f>
        <v>0</v>
      </c>
      <c r="L734" s="276">
        <f>ROUND(C69,0)</f>
        <v>0</v>
      </c>
      <c r="M734" s="276">
        <f>ROUND(C70,0)</f>
        <v>0</v>
      </c>
      <c r="N734" s="276">
        <f>ROUND(C75,0)</f>
        <v>0</v>
      </c>
      <c r="O734" s="276">
        <f>ROUND(C73,0)</f>
        <v>0</v>
      </c>
      <c r="P734" s="276">
        <f>IF(C76&gt;0,ROUND(C76,0),0)</f>
        <v>0</v>
      </c>
      <c r="Q734" s="276">
        <f>IF(C77&gt;0,ROUND(C77,0),0)</f>
        <v>0</v>
      </c>
      <c r="R734" s="276">
        <f>IF(C78&gt;0,ROUND(C78,0),0)</f>
        <v>0</v>
      </c>
      <c r="S734" s="276">
        <f>IF(C79&gt;0,ROUND(C79,0),0)</f>
        <v>0</v>
      </c>
      <c r="T734" s="276">
        <f>IF(C80&gt;0,ROUND(C80,2),0)</f>
        <v>0</v>
      </c>
      <c r="U734" s="276"/>
      <c r="V734" s="276"/>
      <c r="W734" s="276"/>
      <c r="X734" s="276"/>
      <c r="Y734" s="276">
        <f>IF(M668&lt;&gt;0,ROUND(M668,0),0)</f>
        <v>0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008*2018*6030*A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008*2018*6070*A</v>
      </c>
      <c r="B736" s="276">
        <f>ROUND(E59,0)</f>
        <v>397</v>
      </c>
      <c r="C736" s="278">
        <f>ROUND(E60,2)</f>
        <v>21.49</v>
      </c>
      <c r="D736" s="276">
        <f>ROUND(E61,0)</f>
        <v>1598753</v>
      </c>
      <c r="E736" s="276">
        <f>ROUND(E62,0)</f>
        <v>364395</v>
      </c>
      <c r="F736" s="276">
        <f>ROUND(E63,0)</f>
        <v>577308</v>
      </c>
      <c r="G736" s="276">
        <f>ROUND(E64,0)</f>
        <v>101974</v>
      </c>
      <c r="H736" s="276">
        <f>ROUND(E65,0)</f>
        <v>6909</v>
      </c>
      <c r="I736" s="276">
        <f>ROUND(E66,0)</f>
        <v>112211</v>
      </c>
      <c r="J736" s="276">
        <f>ROUND(E67,0)</f>
        <v>0</v>
      </c>
      <c r="K736" s="276">
        <f>ROUND(E68,0)</f>
        <v>53784</v>
      </c>
      <c r="L736" s="276">
        <f>ROUND(E69,0)</f>
        <v>350543</v>
      </c>
      <c r="M736" s="276">
        <f>ROUND(E70,0)</f>
        <v>0</v>
      </c>
      <c r="N736" s="276">
        <f>ROUND(E75,0)</f>
        <v>2355307</v>
      </c>
      <c r="O736" s="276">
        <f>ROUND(E73,0)</f>
        <v>1290614</v>
      </c>
      <c r="P736" s="276">
        <f>IF(E76&gt;0,ROUND(E76,0),0)</f>
        <v>5592</v>
      </c>
      <c r="Q736" s="276">
        <f>IF(E77&gt;0,ROUND(E77,0),0)</f>
        <v>3658</v>
      </c>
      <c r="R736" s="276">
        <f>IF(E78&gt;0,ROUND(E78,0),0)</f>
        <v>5164</v>
      </c>
      <c r="S736" s="276">
        <f>IF(E79&gt;0,ROUND(E79,0),0)</f>
        <v>1881</v>
      </c>
      <c r="T736" s="278">
        <f>IF(E80&gt;0,ROUND(E80,2),0)</f>
        <v>6.78</v>
      </c>
      <c r="U736" s="276"/>
      <c r="V736" s="277"/>
      <c r="W736" s="276"/>
      <c r="X736" s="276"/>
      <c r="Y736" s="276">
        <f t="shared" si="21"/>
        <v>1691010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008*2018*6100*A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008*2018*6120*A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008*2018*6140*A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008*2018*6150*A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008*2018*6170*A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008*2018*6200*A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008*2018*6210*A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185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008*2018*6330*A</v>
      </c>
      <c r="B744" s="276">
        <f>ROUND(M59,0)</f>
        <v>850</v>
      </c>
      <c r="C744" s="278">
        <f>ROUND(M60,2)</f>
        <v>5.36</v>
      </c>
      <c r="D744" s="276">
        <f>ROUND(M61,0)</f>
        <v>265741</v>
      </c>
      <c r="E744" s="276">
        <f>ROUND(M62,0)</f>
        <v>0</v>
      </c>
      <c r="F744" s="276">
        <f>ROUND(M63,0)</f>
        <v>0</v>
      </c>
      <c r="G744" s="276">
        <f>ROUND(M64,0)</f>
        <v>41365</v>
      </c>
      <c r="H744" s="276">
        <f>ROUND(M65,0)</f>
        <v>0</v>
      </c>
      <c r="I744" s="276">
        <f>ROUND(M66,0)</f>
        <v>144</v>
      </c>
      <c r="J744" s="276">
        <f>ROUND(M67,0)</f>
        <v>0</v>
      </c>
      <c r="K744" s="276">
        <f>ROUND(M68,0)</f>
        <v>9293</v>
      </c>
      <c r="L744" s="276">
        <f>ROUND(M69,0)</f>
        <v>128164</v>
      </c>
      <c r="M744" s="276">
        <f>ROUND(M70,0)</f>
        <v>0</v>
      </c>
      <c r="N744" s="276">
        <f>ROUND(M75,0)</f>
        <v>1205026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2.92</v>
      </c>
      <c r="U744" s="276"/>
      <c r="V744" s="277"/>
      <c r="W744" s="276"/>
      <c r="X744" s="276"/>
      <c r="Y744" s="276">
        <f t="shared" si="21"/>
        <v>209632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008*2018*6400*A</v>
      </c>
      <c r="B745" s="276">
        <f>ROUND(N59,0)</f>
        <v>898</v>
      </c>
      <c r="C745" s="278">
        <f>ROUND(N60,2)</f>
        <v>1.33</v>
      </c>
      <c r="D745" s="276">
        <f>ROUND(N61,0)</f>
        <v>157262</v>
      </c>
      <c r="E745" s="276">
        <f>ROUND(N62,0)</f>
        <v>31872</v>
      </c>
      <c r="F745" s="276">
        <f>ROUND(N63,0)</f>
        <v>0</v>
      </c>
      <c r="G745" s="276">
        <f>ROUND(N64,0)</f>
        <v>1098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253405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51123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008*2018*7010*A</v>
      </c>
      <c r="B746" s="276">
        <f>ROUND(O59,0)</f>
        <v>0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008*2018*7020*A</v>
      </c>
      <c r="B747" s="276">
        <f>ROUND(P59,0)</f>
        <v>2609</v>
      </c>
      <c r="C747" s="278">
        <f>ROUND(P60,2)</f>
        <v>8.5399999999999991</v>
      </c>
      <c r="D747" s="276">
        <f>ROUND(P61,0)</f>
        <v>1191461</v>
      </c>
      <c r="E747" s="276">
        <f>ROUND(P62,0)</f>
        <v>183266</v>
      </c>
      <c r="F747" s="276">
        <f>ROUND(P63,0)</f>
        <v>88173</v>
      </c>
      <c r="G747" s="276">
        <f>ROUND(P64,0)</f>
        <v>277803</v>
      </c>
      <c r="H747" s="276">
        <f>ROUND(P65,0)</f>
        <v>0</v>
      </c>
      <c r="I747" s="276">
        <f>ROUND(P66,0)</f>
        <v>36064</v>
      </c>
      <c r="J747" s="276">
        <f>ROUND(P67,0)</f>
        <v>0</v>
      </c>
      <c r="K747" s="276">
        <f>ROUND(P68,0)</f>
        <v>2146</v>
      </c>
      <c r="L747" s="276">
        <f>ROUND(P69,0)</f>
        <v>77952</v>
      </c>
      <c r="M747" s="276">
        <f>ROUND(P70,0)</f>
        <v>0</v>
      </c>
      <c r="N747" s="276">
        <f>ROUND(P75,0)</f>
        <v>4664144</v>
      </c>
      <c r="O747" s="276">
        <f>ROUND(P73,0)</f>
        <v>298369</v>
      </c>
      <c r="P747" s="276">
        <f>IF(P76&gt;0,ROUND(P76,0),0)</f>
        <v>5691</v>
      </c>
      <c r="Q747" s="276">
        <f>IF(P77&gt;0,ROUND(P77,0),0)</f>
        <v>0</v>
      </c>
      <c r="R747" s="276">
        <f>IF(P78&gt;0,ROUND(P78,0),0)</f>
        <v>0</v>
      </c>
      <c r="S747" s="276">
        <f>IF(P79&gt;0,ROUND(P79,0),0)</f>
        <v>701</v>
      </c>
      <c r="T747" s="278">
        <f>IF(P80&gt;0,ROUND(P80,2),0)</f>
        <v>2.64</v>
      </c>
      <c r="U747" s="276"/>
      <c r="V747" s="277"/>
      <c r="W747" s="276"/>
      <c r="X747" s="276"/>
      <c r="Y747" s="276">
        <f t="shared" si="21"/>
        <v>825161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008*2018*7030*A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1"/>
        <v>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008*2018*7040*A</v>
      </c>
      <c r="B749" s="276">
        <f>ROUND(R59,0)</f>
        <v>0</v>
      </c>
      <c r="C749" s="278">
        <f>ROUND(R60,2)</f>
        <v>2</v>
      </c>
      <c r="D749" s="276">
        <f>ROUND(R61,0)</f>
        <v>252475</v>
      </c>
      <c r="E749" s="276">
        <f>ROUND(R62,0)</f>
        <v>53312</v>
      </c>
      <c r="F749" s="276">
        <f>ROUND(R63,0)</f>
        <v>0</v>
      </c>
      <c r="G749" s="276">
        <f>ROUND(R64,0)</f>
        <v>15038</v>
      </c>
      <c r="H749" s="276">
        <f>ROUND(R65,0)</f>
        <v>0</v>
      </c>
      <c r="I749" s="276">
        <f>ROUND(R66,0)</f>
        <v>0</v>
      </c>
      <c r="J749" s="276">
        <f>ROUND(R67,0)</f>
        <v>0</v>
      </c>
      <c r="K749" s="276">
        <f>ROUND(R68,0)</f>
        <v>0</v>
      </c>
      <c r="L749" s="276">
        <f>ROUND(R69,0)</f>
        <v>9499</v>
      </c>
      <c r="M749" s="276">
        <f>ROUND(R70,0)</f>
        <v>0</v>
      </c>
      <c r="N749" s="276">
        <f>ROUND(R75,0)</f>
        <v>467089</v>
      </c>
      <c r="O749" s="276">
        <f>ROUND(R73,0)</f>
        <v>32783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20</v>
      </c>
      <c r="T749" s="278">
        <f>IF(R80&gt;0,ROUND(R80,2),0)</f>
        <v>2</v>
      </c>
      <c r="U749" s="276"/>
      <c r="V749" s="277"/>
      <c r="W749" s="276"/>
      <c r="X749" s="276"/>
      <c r="Y749" s="276">
        <f t="shared" si="21"/>
        <v>122396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008*2018*7050*A</v>
      </c>
      <c r="B750" s="276"/>
      <c r="C750" s="278">
        <f>ROUND(S60,2)</f>
        <v>0</v>
      </c>
      <c r="D750" s="276">
        <f>ROUND(S61,0)</f>
        <v>0</v>
      </c>
      <c r="E750" s="276">
        <f>ROUND(S62,0)</f>
        <v>0</v>
      </c>
      <c r="F750" s="276">
        <f>ROUND(S63,0)</f>
        <v>0</v>
      </c>
      <c r="G750" s="276">
        <f>ROUND(S64,0)</f>
        <v>0</v>
      </c>
      <c r="H750" s="276">
        <f>ROUND(S65,0)</f>
        <v>0</v>
      </c>
      <c r="I750" s="276">
        <f>ROUND(S66,0)</f>
        <v>0</v>
      </c>
      <c r="J750" s="276">
        <f>ROUND(S67,0)</f>
        <v>0</v>
      </c>
      <c r="K750" s="276">
        <f>ROUND(S68,0)</f>
        <v>0</v>
      </c>
      <c r="L750" s="276">
        <f>ROUND(S69,0)</f>
        <v>0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0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559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0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008*2018*7060*A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008*2018*7070*A</v>
      </c>
      <c r="B752" s="276">
        <f>ROUND(U59,0)</f>
        <v>55930</v>
      </c>
      <c r="C752" s="278">
        <f>ROUND(U60,2)</f>
        <v>8.91</v>
      </c>
      <c r="D752" s="276">
        <f>ROUND(U61,0)</f>
        <v>513831</v>
      </c>
      <c r="E752" s="276">
        <f>ROUND(U62,0)</f>
        <v>111172</v>
      </c>
      <c r="F752" s="276">
        <f>ROUND(U63,0)</f>
        <v>12989</v>
      </c>
      <c r="G752" s="276">
        <f>ROUND(U64,0)</f>
        <v>434148</v>
      </c>
      <c r="H752" s="276">
        <f>ROUND(U65,0)</f>
        <v>0</v>
      </c>
      <c r="I752" s="276">
        <f>ROUND(U66,0)</f>
        <v>133287</v>
      </c>
      <c r="J752" s="276">
        <f>ROUND(U67,0)</f>
        <v>0</v>
      </c>
      <c r="K752" s="276">
        <f>ROUND(U68,0)</f>
        <v>20983</v>
      </c>
      <c r="L752" s="276">
        <f>ROUND(U69,0)</f>
        <v>220415</v>
      </c>
      <c r="M752" s="276">
        <f>ROUND(U70,0)</f>
        <v>0</v>
      </c>
      <c r="N752" s="276">
        <f>ROUND(U75,0)</f>
        <v>4942416</v>
      </c>
      <c r="O752" s="276">
        <f>ROUND(U73,0)</f>
        <v>215759</v>
      </c>
      <c r="P752" s="276">
        <f>IF(U76&gt;0,ROUND(U76,0),0)</f>
        <v>1784</v>
      </c>
      <c r="Q752" s="276">
        <f>IF(U77&gt;0,ROUND(U77,0),0)</f>
        <v>0</v>
      </c>
      <c r="R752" s="276">
        <f>IF(U78&gt;0,ROUND(U78,0),0)</f>
        <v>0</v>
      </c>
      <c r="S752" s="276">
        <f>IF(U79&gt;0,ROUND(U79,0),0)</f>
        <v>147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660984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008*2018*7110*A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0</v>
      </c>
      <c r="O753" s="276">
        <f>ROUND(V73,0)</f>
        <v>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0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008*2018*7120*A</v>
      </c>
      <c r="B754" s="276">
        <f>ROUND(W59,0)</f>
        <v>464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49434</v>
      </c>
      <c r="G754" s="276">
        <f>ROUND(W64,0)</f>
        <v>0</v>
      </c>
      <c r="H754" s="276">
        <f>ROUND(W65,0)</f>
        <v>650</v>
      </c>
      <c r="I754" s="276">
        <f>ROUND(W66,0)</f>
        <v>1436</v>
      </c>
      <c r="J754" s="276">
        <f>ROUND(W67,0)</f>
        <v>0</v>
      </c>
      <c r="K754" s="276">
        <f>ROUND(W68,0)</f>
        <v>245406</v>
      </c>
      <c r="L754" s="276">
        <f>ROUND(W69,0)</f>
        <v>0</v>
      </c>
      <c r="M754" s="276">
        <f>ROUND(W70,0)</f>
        <v>0</v>
      </c>
      <c r="N754" s="276">
        <f>ROUND(W75,0)</f>
        <v>1492089</v>
      </c>
      <c r="O754" s="276">
        <f>ROUND(W73,0)</f>
        <v>14688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154643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008*2018*7130*A</v>
      </c>
      <c r="B755" s="276">
        <f>ROUND(X59,0)</f>
        <v>1524</v>
      </c>
      <c r="C755" s="278">
        <f>ROUND(X60,2)</f>
        <v>0.69</v>
      </c>
      <c r="D755" s="276">
        <f>ROUND(X61,0)</f>
        <v>47548</v>
      </c>
      <c r="E755" s="276">
        <f>ROUND(X62,0)</f>
        <v>0</v>
      </c>
      <c r="F755" s="276">
        <f>ROUND(X63,0)</f>
        <v>116126</v>
      </c>
      <c r="G755" s="276">
        <f>ROUND(X64,0)</f>
        <v>13798</v>
      </c>
      <c r="H755" s="276">
        <f>ROUND(X65,0)</f>
        <v>1625</v>
      </c>
      <c r="I755" s="276">
        <f>ROUND(X66,0)</f>
        <v>93623</v>
      </c>
      <c r="J755" s="276">
        <f>ROUND(X67,0)</f>
        <v>0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4110660</v>
      </c>
      <c r="O755" s="276">
        <f>ROUND(X73,0)</f>
        <v>102390</v>
      </c>
      <c r="P755" s="276">
        <f>IF(X76&gt;0,ROUND(X76,0),0)</f>
        <v>621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20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343960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008*2018*7140*A</v>
      </c>
      <c r="B756" s="276">
        <f>ROUND(Y59,0)</f>
        <v>6564</v>
      </c>
      <c r="C756" s="278">
        <f>ROUND(Y60,2)</f>
        <v>9.1</v>
      </c>
      <c r="D756" s="276">
        <f>ROUND(Y61,0)</f>
        <v>627015</v>
      </c>
      <c r="E756" s="276">
        <f>ROUND(Y62,0)</f>
        <v>141624</v>
      </c>
      <c r="F756" s="276">
        <f>ROUND(Y63,0)</f>
        <v>220792</v>
      </c>
      <c r="G756" s="276">
        <f>ROUND(Y64,0)</f>
        <v>31490</v>
      </c>
      <c r="H756" s="276">
        <f>ROUND(Y65,0)</f>
        <v>4388</v>
      </c>
      <c r="I756" s="276">
        <f>ROUND(Y66,0)</f>
        <v>134686</v>
      </c>
      <c r="J756" s="276">
        <f>ROUND(Y67,0)</f>
        <v>0</v>
      </c>
      <c r="K756" s="276">
        <f>ROUND(Y68,0)</f>
        <v>0</v>
      </c>
      <c r="L756" s="276">
        <f>ROUND(Y69,0)</f>
        <v>4618</v>
      </c>
      <c r="M756" s="276">
        <f>ROUND(Y70,0)</f>
        <v>0</v>
      </c>
      <c r="N756" s="276">
        <f>ROUND(Y75,0)</f>
        <v>4152357</v>
      </c>
      <c r="O756" s="276">
        <f>ROUND(Y73,0)</f>
        <v>148152</v>
      </c>
      <c r="P756" s="276">
        <f>IF(Y76&gt;0,ROUND(Y76,0),0)</f>
        <v>2257</v>
      </c>
      <c r="Q756" s="276">
        <f>IF(Y77&gt;0,ROUND(Y77,0),0)</f>
        <v>0</v>
      </c>
      <c r="R756" s="276">
        <f>IF(Y78&gt;0,ROUND(Y78,0),0)</f>
        <v>0</v>
      </c>
      <c r="S756" s="276">
        <f>IF(Y79&gt;0,ROUND(Y79,0),0)</f>
        <v>391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539966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008*2018*7150*A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008*2018*7160*A</v>
      </c>
      <c r="B758" s="276">
        <f>ROUND(AA59,0)</f>
        <v>0</v>
      </c>
      <c r="C758" s="278">
        <f>ROUND(AA60,2)</f>
        <v>0</v>
      </c>
      <c r="D758" s="276">
        <f>ROUND(AA61,0)</f>
        <v>0</v>
      </c>
      <c r="E758" s="276">
        <f>ROUND(AA62,0)</f>
        <v>0</v>
      </c>
      <c r="F758" s="276">
        <f>ROUND(AA63,0)</f>
        <v>0</v>
      </c>
      <c r="G758" s="276">
        <f>ROUND(AA64,0)</f>
        <v>0</v>
      </c>
      <c r="H758" s="276">
        <f>ROUND(AA65,0)</f>
        <v>0</v>
      </c>
      <c r="I758" s="276">
        <f>ROUND(AA66,0)</f>
        <v>0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0</v>
      </c>
      <c r="O758" s="276">
        <f>ROUND(AA73,0)</f>
        <v>0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0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008*2018*7170*A</v>
      </c>
      <c r="B759" s="276"/>
      <c r="C759" s="278">
        <f>ROUND(AB60,2)</f>
        <v>0.28000000000000003</v>
      </c>
      <c r="D759" s="276">
        <f>ROUND(AB61,0)</f>
        <v>33810</v>
      </c>
      <c r="E759" s="276">
        <f>ROUND(AB62,0)</f>
        <v>2417</v>
      </c>
      <c r="F759" s="276">
        <f>ROUND(AB63,0)</f>
        <v>0</v>
      </c>
      <c r="G759" s="276">
        <f>ROUND(AB64,0)</f>
        <v>119958</v>
      </c>
      <c r="H759" s="276">
        <f>ROUND(AB65,0)</f>
        <v>0</v>
      </c>
      <c r="I759" s="276">
        <f>ROUND(AB66,0)</f>
        <v>172010</v>
      </c>
      <c r="J759" s="276">
        <f>ROUND(AB67,0)</f>
        <v>0</v>
      </c>
      <c r="K759" s="276">
        <f>ROUND(AB68,0)</f>
        <v>9242</v>
      </c>
      <c r="L759" s="276">
        <f>ROUND(AB69,0)</f>
        <v>2577</v>
      </c>
      <c r="M759" s="276">
        <f>ROUND(AB70,0)</f>
        <v>0</v>
      </c>
      <c r="N759" s="276">
        <f>ROUND(AB75,0)</f>
        <v>1221027</v>
      </c>
      <c r="O759" s="276">
        <f>ROUND(AB73,0)</f>
        <v>267771</v>
      </c>
      <c r="P759" s="276">
        <f>IF(AB76&gt;0,ROUND(AB76,0),0)</f>
        <v>239</v>
      </c>
      <c r="Q759" s="276">
        <f>IF(AB77&gt;0,ROUND(AB77,0),0)</f>
        <v>0</v>
      </c>
      <c r="R759" s="276">
        <f>IF(AB78&gt;0,ROUND(AB78,0),0)</f>
        <v>0</v>
      </c>
      <c r="S759" s="276">
        <f>IF(AB79&gt;0,ROUND(AB79,0),0)</f>
        <v>68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156635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008*2018*7180*A</v>
      </c>
      <c r="B760" s="276">
        <f>ROUND(AC59,0)</f>
        <v>581</v>
      </c>
      <c r="C760" s="278">
        <f>ROUND(AC60,2)</f>
        <v>0.75</v>
      </c>
      <c r="D760" s="276">
        <f>ROUND(AC61,0)</f>
        <v>58526</v>
      </c>
      <c r="E760" s="276">
        <f>ROUND(AC62,0)</f>
        <v>13312</v>
      </c>
      <c r="F760" s="276">
        <f>ROUND(AC63,0)</f>
        <v>0</v>
      </c>
      <c r="G760" s="276">
        <f>ROUND(AC64,0)</f>
        <v>9301</v>
      </c>
      <c r="H760" s="276">
        <f>ROUND(AC65,0)</f>
        <v>0</v>
      </c>
      <c r="I760" s="276">
        <f>ROUND(AC66,0)</f>
        <v>627</v>
      </c>
      <c r="J760" s="276">
        <f>ROUND(AC67,0)</f>
        <v>0</v>
      </c>
      <c r="K760" s="276">
        <f>ROUND(AC68,0)</f>
        <v>0</v>
      </c>
      <c r="L760" s="276">
        <f>ROUND(AC69,0)</f>
        <v>457</v>
      </c>
      <c r="M760" s="276">
        <f>ROUND(AC70,0)</f>
        <v>0</v>
      </c>
      <c r="N760" s="276">
        <f>ROUND(AC75,0)</f>
        <v>182986</v>
      </c>
      <c r="O760" s="276">
        <f>ROUND(AC73,0)</f>
        <v>32633</v>
      </c>
      <c r="P760" s="276">
        <f>IF(AC76&gt;0,ROUND(AC76,0),0)</f>
        <v>342</v>
      </c>
      <c r="Q760" s="276">
        <f>IF(AC77&gt;0,ROUND(AC77,0),0)</f>
        <v>0</v>
      </c>
      <c r="R760" s="276">
        <f>IF(AC78&gt;0,ROUND(AC78,0),0)</f>
        <v>0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34828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008*2018*7190*A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008*2018*7200*A</v>
      </c>
      <c r="B762" s="276">
        <f>ROUND(AE59,0)</f>
        <v>11209</v>
      </c>
      <c r="C762" s="278">
        <f>ROUND(AE60,2)</f>
        <v>6.19</v>
      </c>
      <c r="D762" s="276">
        <f>ROUND(AE61,0)</f>
        <v>385436</v>
      </c>
      <c r="E762" s="276">
        <f>ROUND(AE62,0)</f>
        <v>82291</v>
      </c>
      <c r="F762" s="276">
        <f>ROUND(AE63,0)</f>
        <v>0</v>
      </c>
      <c r="G762" s="276">
        <f>ROUND(AE64,0)</f>
        <v>14133</v>
      </c>
      <c r="H762" s="276">
        <f>ROUND(AE65,0)</f>
        <v>0</v>
      </c>
      <c r="I762" s="276">
        <f>ROUND(AE66,0)</f>
        <v>120307</v>
      </c>
      <c r="J762" s="276">
        <f>ROUND(AE67,0)</f>
        <v>0</v>
      </c>
      <c r="K762" s="276">
        <f>ROUND(AE68,0)</f>
        <v>0</v>
      </c>
      <c r="L762" s="276">
        <f>ROUND(AE69,0)</f>
        <v>13626</v>
      </c>
      <c r="M762" s="276">
        <f>ROUND(AE70,0)</f>
        <v>0</v>
      </c>
      <c r="N762" s="276">
        <f>ROUND(AE75,0)</f>
        <v>1329384</v>
      </c>
      <c r="O762" s="276">
        <f>ROUND(AE73,0)</f>
        <v>216399</v>
      </c>
      <c r="P762" s="276">
        <f>IF(AE76&gt;0,ROUND(AE76,0),0)</f>
        <v>4611</v>
      </c>
      <c r="Q762" s="276">
        <f>IF(AE77&gt;0,ROUND(AE77,0),0)</f>
        <v>0</v>
      </c>
      <c r="R762" s="276">
        <f>IF(AE78&gt;0,ROUND(AE78,0),0)</f>
        <v>0</v>
      </c>
      <c r="S762" s="276">
        <f>IF(AE79&gt;0,ROUND(AE79,0),0)</f>
        <v>209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296786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008*2018*7220*A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008*2018*7230*A</v>
      </c>
      <c r="B764" s="276">
        <f>ROUND(AG59,0)</f>
        <v>5441</v>
      </c>
      <c r="C764" s="278">
        <f>ROUND(AG60,2)</f>
        <v>18.63</v>
      </c>
      <c r="D764" s="276">
        <f>ROUND(AG61,0)</f>
        <v>1569110</v>
      </c>
      <c r="E764" s="276">
        <f>ROUND(AG62,0)</f>
        <v>268095</v>
      </c>
      <c r="F764" s="276">
        <f>ROUND(AG63,0)</f>
        <v>238134</v>
      </c>
      <c r="G764" s="276">
        <f>ROUND(AG64,0)</f>
        <v>81782</v>
      </c>
      <c r="H764" s="276">
        <f>ROUND(AG65,0)</f>
        <v>314</v>
      </c>
      <c r="I764" s="276">
        <f>ROUND(AG66,0)</f>
        <v>8344</v>
      </c>
      <c r="J764" s="276">
        <f>ROUND(AG67,0)</f>
        <v>0</v>
      </c>
      <c r="K764" s="276">
        <f>ROUND(AG68,0)</f>
        <v>17409</v>
      </c>
      <c r="L764" s="276">
        <f>ROUND(AG69,0)</f>
        <v>33572</v>
      </c>
      <c r="M764" s="276">
        <f>ROUND(AG70,0)</f>
        <v>0</v>
      </c>
      <c r="N764" s="276">
        <f>ROUND(AG75,0)</f>
        <v>10955002</v>
      </c>
      <c r="O764" s="276">
        <f>ROUND(AG73,0)</f>
        <v>85838</v>
      </c>
      <c r="P764" s="276">
        <f>IF(AG76&gt;0,ROUND(AG76,0),0)</f>
        <v>2054</v>
      </c>
      <c r="Q764" s="276">
        <f>IF(AG77&gt;0,ROUND(AG77,0),0)</f>
        <v>0</v>
      </c>
      <c r="R764" s="276">
        <f>IF(AG78&gt;0,ROUND(AG78,0),0)</f>
        <v>0</v>
      </c>
      <c r="S764" s="276">
        <f>IF(AG79&gt;0,ROUND(AG79,0),0)</f>
        <v>278</v>
      </c>
      <c r="T764" s="278">
        <f>IF(AG80&gt;0,ROUND(AG80,2),0)</f>
        <v>8.7899999999999991</v>
      </c>
      <c r="U764" s="276"/>
      <c r="V764" s="277"/>
      <c r="W764" s="276"/>
      <c r="X764" s="276"/>
      <c r="Y764" s="276">
        <f t="shared" si="21"/>
        <v>1328403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008*2018*7240*A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736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008*2018*7250*A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008*2018*7260*A</v>
      </c>
      <c r="B767" s="276">
        <f>ROUND(AJ59,0)</f>
        <v>20821</v>
      </c>
      <c r="C767" s="278">
        <f>ROUND(AJ60,2)</f>
        <v>27.84</v>
      </c>
      <c r="D767" s="276">
        <f>ROUND(AJ61,0)</f>
        <v>2475971</v>
      </c>
      <c r="E767" s="276">
        <f>ROUND(AJ62,0)</f>
        <v>614768</v>
      </c>
      <c r="F767" s="276">
        <f>ROUND(AJ63,0)</f>
        <v>13024</v>
      </c>
      <c r="G767" s="276">
        <f>ROUND(AJ64,0)</f>
        <v>147870</v>
      </c>
      <c r="H767" s="276">
        <f>ROUND(AJ65,0)</f>
        <v>43849</v>
      </c>
      <c r="I767" s="276">
        <f>ROUND(AJ66,0)</f>
        <v>134681</v>
      </c>
      <c r="J767" s="276">
        <f>ROUND(AJ67,0)</f>
        <v>190272</v>
      </c>
      <c r="K767" s="276">
        <f>ROUND(AJ68,0)</f>
        <v>6194</v>
      </c>
      <c r="L767" s="276">
        <f>ROUND(AJ69,0)</f>
        <v>61168</v>
      </c>
      <c r="M767" s="276">
        <f>ROUND(AJ70,0)</f>
        <v>0</v>
      </c>
      <c r="N767" s="276">
        <f>ROUND(AJ75,0)</f>
        <v>5093777</v>
      </c>
      <c r="O767" s="276">
        <f>ROUND(AJ73,0)</f>
        <v>0</v>
      </c>
      <c r="P767" s="276">
        <f>IF(AJ76&gt;0,ROUND(AJ76,0),0)</f>
        <v>12898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2724</v>
      </c>
      <c r="T767" s="278">
        <f>IF(AJ80&gt;0,ROUND(AJ80,2),0)</f>
        <v>1.0900000000000001</v>
      </c>
      <c r="U767" s="276"/>
      <c r="V767" s="277"/>
      <c r="W767" s="276"/>
      <c r="X767" s="276"/>
      <c r="Y767" s="276">
        <f t="shared" si="21"/>
        <v>1295943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008*2018*7310*A</v>
      </c>
      <c r="B768" s="276">
        <f>ROUND(AK59,0)</f>
        <v>1044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008*2018*7320*A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008*2018*7330*A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008*2018*7340*A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008*2018*7350*A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008*2018*7380*A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27592</v>
      </c>
      <c r="S773" s="276">
        <f>IF(AP79&gt;0,ROUND(AP79,0),0)</f>
        <v>68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567329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008*2018*7390*A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008*2018*7400*A</v>
      </c>
      <c r="B775" s="276">
        <f>ROUND(AR59,0)</f>
        <v>1708</v>
      </c>
      <c r="C775" s="278">
        <f>ROUND(AR60,2)</f>
        <v>4.38</v>
      </c>
      <c r="D775" s="276">
        <f>ROUND(AR61,0)</f>
        <v>270533</v>
      </c>
      <c r="E775" s="276">
        <f>ROUND(AR62,0)</f>
        <v>83388</v>
      </c>
      <c r="F775" s="276">
        <f>ROUND(AR63,0)</f>
        <v>0</v>
      </c>
      <c r="G775" s="276">
        <f>ROUND(AR64,0)</f>
        <v>10139</v>
      </c>
      <c r="H775" s="276">
        <f>ROUND(AR65,0)</f>
        <v>1007</v>
      </c>
      <c r="I775" s="276">
        <f>ROUND(AR66,0)</f>
        <v>26032</v>
      </c>
      <c r="J775" s="276">
        <f>ROUND(AR67,0)</f>
        <v>0</v>
      </c>
      <c r="K775" s="276">
        <f>ROUND(AR68,0)</f>
        <v>0</v>
      </c>
      <c r="L775" s="276">
        <f>ROUND(AR69,0)</f>
        <v>5394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987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104</v>
      </c>
      <c r="T775" s="278">
        <f>IF(AR80&gt;0,ROUND(AR80,2),0)</f>
        <v>1.22</v>
      </c>
      <c r="U775" s="276"/>
      <c r="V775" s="277"/>
      <c r="W775" s="276"/>
      <c r="X775" s="276"/>
      <c r="Y775" s="276">
        <f t="shared" si="21"/>
        <v>110347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008*2018*7410*A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008*2018*7420*A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008*2018*7430*A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008*2018*7490*A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93277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6401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008*2018*8200*A</v>
      </c>
      <c r="B780" s="276"/>
      <c r="C780" s="278">
        <f>ROUND(AW60,2)</f>
        <v>0.87</v>
      </c>
      <c r="D780" s="276">
        <f>ROUND(AW61,0)</f>
        <v>78956</v>
      </c>
      <c r="E780" s="276">
        <f>ROUND(AW62,0)</f>
        <v>22202</v>
      </c>
      <c r="F780" s="276">
        <f>ROUND(AW63,0)</f>
        <v>0</v>
      </c>
      <c r="G780" s="276">
        <f>ROUND(AW64,0)</f>
        <v>2451</v>
      </c>
      <c r="H780" s="276">
        <f>ROUND(AW65,0)</f>
        <v>0</v>
      </c>
      <c r="I780" s="276">
        <f>ROUND(AW66,0)</f>
        <v>117</v>
      </c>
      <c r="J780" s="276">
        <f>ROUND(AW67,0)</f>
        <v>0</v>
      </c>
      <c r="K780" s="276">
        <f>ROUND(AW68,0)</f>
        <v>0</v>
      </c>
      <c r="L780" s="276">
        <f>ROUND(AW69,0)</f>
        <v>8285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008*2018*8310*A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008*2018*8320*A</v>
      </c>
      <c r="B782" s="276">
        <f>ROUND(AY59,0)</f>
        <v>37547</v>
      </c>
      <c r="C782" s="278">
        <f>ROUND(AY60,2)</f>
        <v>6.48</v>
      </c>
      <c r="D782" s="276">
        <f>ROUND(AY61,0)</f>
        <v>257971</v>
      </c>
      <c r="E782" s="276">
        <f>ROUND(AY62,0)</f>
        <v>83959</v>
      </c>
      <c r="F782" s="276">
        <f>ROUND(AY63,0)</f>
        <v>0</v>
      </c>
      <c r="G782" s="276">
        <f>ROUND(AY64,0)</f>
        <v>157941</v>
      </c>
      <c r="H782" s="276">
        <f>ROUND(AY65,0)</f>
        <v>0</v>
      </c>
      <c r="I782" s="276">
        <f>ROUND(AY66,0)</f>
        <v>0</v>
      </c>
      <c r="J782" s="276">
        <f>ROUND(AY67,0)</f>
        <v>0</v>
      </c>
      <c r="K782" s="276">
        <f>ROUND(AY68,0)</f>
        <v>0</v>
      </c>
      <c r="L782" s="276">
        <f>ROUND(AY69,0)</f>
        <v>10631</v>
      </c>
      <c r="M782" s="276">
        <f>ROUND(AY70,0)</f>
        <v>0</v>
      </c>
      <c r="N782" s="276"/>
      <c r="O782" s="276"/>
      <c r="P782" s="276">
        <f>IF(AY76&gt;0,ROUND(AY76,0),0)</f>
        <v>1202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008*2018*8330*A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1067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008*2018*8350*A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0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008*2018*8360*A</v>
      </c>
      <c r="B785" s="276"/>
      <c r="C785" s="278">
        <f>ROUND(BB60,2)</f>
        <v>0</v>
      </c>
      <c r="D785" s="276">
        <f>ROUND(BB61,0)</f>
        <v>0</v>
      </c>
      <c r="E785" s="276">
        <f>ROUND(BB62,0)</f>
        <v>0</v>
      </c>
      <c r="F785" s="276">
        <f>ROUND(BB63,0)</f>
        <v>0</v>
      </c>
      <c r="G785" s="276">
        <f>ROUND(BB64,0)</f>
        <v>0</v>
      </c>
      <c r="H785" s="276">
        <f>ROUND(BB65,0)</f>
        <v>0</v>
      </c>
      <c r="I785" s="276">
        <f>ROUND(BB66,0)</f>
        <v>0</v>
      </c>
      <c r="J785" s="276">
        <f>ROUND(BB67,0)</f>
        <v>0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008*2018*8370*A</v>
      </c>
      <c r="B786" s="276"/>
      <c r="C786" s="278">
        <f>ROUND(BC60,2)</f>
        <v>0.37</v>
      </c>
      <c r="D786" s="276">
        <f>ROUND(BC61,0)</f>
        <v>10578</v>
      </c>
      <c r="E786" s="276">
        <f>ROUND(BC62,0)</f>
        <v>2175</v>
      </c>
      <c r="F786" s="276">
        <f>ROUND(BC63,0)</f>
        <v>0</v>
      </c>
      <c r="G786" s="276">
        <f>ROUND(BC64,0)</f>
        <v>2750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47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71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008*2018*8420*A</v>
      </c>
      <c r="B787" s="276"/>
      <c r="C787" s="278">
        <f>ROUND(BD60,2)</f>
        <v>1.04</v>
      </c>
      <c r="D787" s="276">
        <f>ROUND(BD61,0)</f>
        <v>54404</v>
      </c>
      <c r="E787" s="276">
        <f>ROUND(BD62,0)</f>
        <v>17122</v>
      </c>
      <c r="F787" s="276">
        <f>ROUND(BD63,0)</f>
        <v>0</v>
      </c>
      <c r="G787" s="276">
        <f>ROUND(BD64,0)</f>
        <v>2055</v>
      </c>
      <c r="H787" s="276">
        <f>ROUND(BD65,0)</f>
        <v>0</v>
      </c>
      <c r="I787" s="276">
        <f>ROUND(BD66,0)</f>
        <v>0</v>
      </c>
      <c r="J787" s="276">
        <f>ROUND(BD67,0)</f>
        <v>0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883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008*2018*8430*A</v>
      </c>
      <c r="B788" s="276">
        <f>ROUND(BE59,0)</f>
        <v>85625</v>
      </c>
      <c r="C788" s="278">
        <f>ROUND(BE60,2)</f>
        <v>10.74</v>
      </c>
      <c r="D788" s="276">
        <f>ROUND(BE61,0)</f>
        <v>398610</v>
      </c>
      <c r="E788" s="276">
        <f>ROUND(BE62,0)</f>
        <v>100836</v>
      </c>
      <c r="F788" s="276">
        <f>ROUND(BE63,0)</f>
        <v>0</v>
      </c>
      <c r="G788" s="276">
        <f>ROUND(BE64,0)</f>
        <v>63473</v>
      </c>
      <c r="H788" s="276">
        <f>ROUND(BE65,0)</f>
        <v>236876</v>
      </c>
      <c r="I788" s="276">
        <f>ROUND(BE66,0)</f>
        <v>69335</v>
      </c>
      <c r="J788" s="276">
        <f>ROUND(BE67,0)</f>
        <v>0</v>
      </c>
      <c r="K788" s="276">
        <f>ROUND(BE68,0)</f>
        <v>660</v>
      </c>
      <c r="L788" s="276">
        <f>ROUND(BE69,0)</f>
        <v>46018</v>
      </c>
      <c r="M788" s="276">
        <f>ROUND(BE70,0)</f>
        <v>0</v>
      </c>
      <c r="N788" s="276"/>
      <c r="O788" s="276"/>
      <c r="P788" s="276">
        <f>IF(BE76&gt;0,ROUND(BE76,0),0)</f>
        <v>33563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008*2018*8460*A</v>
      </c>
      <c r="B789" s="276"/>
      <c r="C789" s="278">
        <f>ROUND(BF60,2)</f>
        <v>9.41</v>
      </c>
      <c r="D789" s="276">
        <f>ROUND(BF61,0)</f>
        <v>311764</v>
      </c>
      <c r="E789" s="276">
        <f>ROUND(BF62,0)</f>
        <v>96467</v>
      </c>
      <c r="F789" s="276">
        <f>ROUND(BF63,0)</f>
        <v>0</v>
      </c>
      <c r="G789" s="276">
        <f>ROUND(BF64,0)</f>
        <v>40558</v>
      </c>
      <c r="H789" s="276">
        <f>ROUND(BF65,0)</f>
        <v>323</v>
      </c>
      <c r="I789" s="276">
        <f>ROUND(BF66,0)</f>
        <v>100166</v>
      </c>
      <c r="J789" s="276">
        <f>ROUND(BF67,0)</f>
        <v>0</v>
      </c>
      <c r="K789" s="276">
        <f>ROUND(BF68,0)</f>
        <v>0</v>
      </c>
      <c r="L789" s="276">
        <f>ROUND(BF69,0)</f>
        <v>640</v>
      </c>
      <c r="M789" s="276">
        <f>ROUND(BF70,0)</f>
        <v>0</v>
      </c>
      <c r="N789" s="276"/>
      <c r="O789" s="276"/>
      <c r="P789" s="276">
        <f>IF(BF76&gt;0,ROUND(BF76,0),0)</f>
        <v>1332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008*2018*8470*A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008*2018*8480*A</v>
      </c>
      <c r="B791" s="276"/>
      <c r="C791" s="278">
        <f>ROUND(BH60,2)</f>
        <v>7.85</v>
      </c>
      <c r="D791" s="276">
        <f>ROUND(BH61,0)</f>
        <v>361979</v>
      </c>
      <c r="E791" s="276">
        <f>ROUND(BH62,0)</f>
        <v>92426</v>
      </c>
      <c r="F791" s="276">
        <f>ROUND(BH63,0)</f>
        <v>0</v>
      </c>
      <c r="G791" s="276">
        <f>ROUND(BH64,0)</f>
        <v>37903</v>
      </c>
      <c r="H791" s="276">
        <f>ROUND(BH65,0)</f>
        <v>0</v>
      </c>
      <c r="I791" s="276">
        <f>ROUND(BH66,0)</f>
        <v>392991</v>
      </c>
      <c r="J791" s="276">
        <f>ROUND(BH67,0)</f>
        <v>0</v>
      </c>
      <c r="K791" s="276">
        <f>ROUND(BH68,0)</f>
        <v>0</v>
      </c>
      <c r="L791" s="276">
        <f>ROUND(BH69,0)</f>
        <v>13588</v>
      </c>
      <c r="M791" s="276">
        <f>ROUND(BH70,0)</f>
        <v>0</v>
      </c>
      <c r="N791" s="276"/>
      <c r="O791" s="276"/>
      <c r="P791" s="276">
        <f>IF(BH76&gt;0,ROUND(BH76,0),0)</f>
        <v>1571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008*2018*8490*A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008*2018*8510*A</v>
      </c>
      <c r="B793" s="276"/>
      <c r="C793" s="278">
        <f>ROUND(BJ60,2)</f>
        <v>2.67</v>
      </c>
      <c r="D793" s="276">
        <f>ROUND(BJ61,0)</f>
        <v>151962</v>
      </c>
      <c r="E793" s="276">
        <f>ROUND(BJ62,0)</f>
        <v>28533</v>
      </c>
      <c r="F793" s="276">
        <f>ROUND(BJ63,0)</f>
        <v>0</v>
      </c>
      <c r="G793" s="276">
        <f>ROUND(BJ64,0)</f>
        <v>3429</v>
      </c>
      <c r="H793" s="276">
        <f>ROUND(BJ65,0)</f>
        <v>0</v>
      </c>
      <c r="I793" s="276">
        <f>ROUND(BJ66,0)</f>
        <v>95885</v>
      </c>
      <c r="J793" s="276">
        <f>ROUND(BJ67,0)</f>
        <v>0</v>
      </c>
      <c r="K793" s="276">
        <f>ROUND(BJ68,0)</f>
        <v>3381</v>
      </c>
      <c r="L793" s="276">
        <f>ROUND(BJ69,0)</f>
        <v>2617</v>
      </c>
      <c r="M793" s="276">
        <f>ROUND(BJ70,0)</f>
        <v>0</v>
      </c>
      <c r="N793" s="276"/>
      <c r="O793" s="276"/>
      <c r="P793" s="276">
        <f>IF(BJ76&gt;0,ROUND(BJ76,0),0)</f>
        <v>700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008*2018*8530*A</v>
      </c>
      <c r="B794" s="276"/>
      <c r="C794" s="278">
        <f>ROUND(BK60,2)</f>
        <v>8.99</v>
      </c>
      <c r="D794" s="276">
        <f>ROUND(BK61,0)</f>
        <v>409104</v>
      </c>
      <c r="E794" s="276">
        <f>ROUND(BK62,0)</f>
        <v>109859</v>
      </c>
      <c r="F794" s="276">
        <f>ROUND(BK63,0)</f>
        <v>0</v>
      </c>
      <c r="G794" s="276">
        <f>ROUND(BK64,0)</f>
        <v>10029</v>
      </c>
      <c r="H794" s="276">
        <f>ROUND(BK65,0)</f>
        <v>0</v>
      </c>
      <c r="I794" s="276">
        <f>ROUND(BK66,0)</f>
        <v>247563</v>
      </c>
      <c r="J794" s="276">
        <f>ROUND(BK67,0)</f>
        <v>0</v>
      </c>
      <c r="K794" s="276">
        <f>ROUND(BK68,0)</f>
        <v>1619</v>
      </c>
      <c r="L794" s="276">
        <f>ROUND(BK69,0)</f>
        <v>85335</v>
      </c>
      <c r="M794" s="276">
        <f>ROUND(BK70,0)</f>
        <v>0</v>
      </c>
      <c r="N794" s="276"/>
      <c r="O794" s="276"/>
      <c r="P794" s="276">
        <f>IF(BK76&gt;0,ROUND(BK76,0),0)</f>
        <v>1730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008*2018*8560*A</v>
      </c>
      <c r="B795" s="276"/>
      <c r="C795" s="278">
        <f>ROUND(BL60,2)</f>
        <v>5.52</v>
      </c>
      <c r="D795" s="276">
        <f>ROUND(BL61,0)</f>
        <v>169550</v>
      </c>
      <c r="E795" s="276">
        <f>ROUND(BL62,0)</f>
        <v>42374</v>
      </c>
      <c r="F795" s="276">
        <f>ROUND(BL63,0)</f>
        <v>0</v>
      </c>
      <c r="G795" s="276">
        <f>ROUND(BL64,0)</f>
        <v>10078</v>
      </c>
      <c r="H795" s="276">
        <f>ROUND(BL65,0)</f>
        <v>0</v>
      </c>
      <c r="I795" s="276">
        <f>ROUND(BL66,0)</f>
        <v>912</v>
      </c>
      <c r="J795" s="276">
        <f>ROUND(BL67,0)</f>
        <v>0</v>
      </c>
      <c r="K795" s="276">
        <f>ROUND(BL68,0)</f>
        <v>1619</v>
      </c>
      <c r="L795" s="276">
        <f>ROUND(BL69,0)</f>
        <v>1853</v>
      </c>
      <c r="M795" s="276">
        <f>ROUND(BL70,0)</f>
        <v>0</v>
      </c>
      <c r="N795" s="276"/>
      <c r="O795" s="276"/>
      <c r="P795" s="276">
        <f>IF(BL76&gt;0,ROUND(BL76,0),0)</f>
        <v>410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008*2018*8590*A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008*2018*8610*A</v>
      </c>
      <c r="B797" s="276"/>
      <c r="C797" s="278">
        <f>ROUND(BN60,2)</f>
        <v>9.51</v>
      </c>
      <c r="D797" s="276">
        <f>ROUND(BN61,0)</f>
        <v>801390</v>
      </c>
      <c r="E797" s="276">
        <f>ROUND(BN62,0)</f>
        <v>283021</v>
      </c>
      <c r="F797" s="276">
        <f>ROUND(BN63,0)</f>
        <v>0</v>
      </c>
      <c r="G797" s="276">
        <f>ROUND(BN64,0)</f>
        <v>54086</v>
      </c>
      <c r="H797" s="276">
        <f>ROUND(BN65,0)</f>
        <v>0</v>
      </c>
      <c r="I797" s="276">
        <f>ROUND(BN66,0)</f>
        <v>295451</v>
      </c>
      <c r="J797" s="276">
        <f>ROUND(BN67,0)</f>
        <v>1006954</v>
      </c>
      <c r="K797" s="276">
        <f>ROUND(BN68,0)</f>
        <v>14339</v>
      </c>
      <c r="L797" s="276">
        <f>ROUND(BN69,0)</f>
        <v>819977</v>
      </c>
      <c r="M797" s="276">
        <f>ROUND(BN70,0)</f>
        <v>0</v>
      </c>
      <c r="N797" s="276"/>
      <c r="O797" s="276"/>
      <c r="P797" s="276">
        <f>IF(BN76&gt;0,ROUND(BN76,0),0)</f>
        <v>4373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008*2018*8620*A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008*2018*8630*A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008*2018*8640*A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008*2018*8650*A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008*2018*8660*A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008*2018*8670*A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008*2018*8680*A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008*2018*8690*A</v>
      </c>
      <c r="B805" s="276"/>
      <c r="C805" s="278">
        <f>ROUND(BV60,2)</f>
        <v>4.33</v>
      </c>
      <c r="D805" s="276">
        <f>ROUND(BV61,0)</f>
        <v>179379</v>
      </c>
      <c r="E805" s="276">
        <f>ROUND(BV62,0)</f>
        <v>64041</v>
      </c>
      <c r="F805" s="276">
        <f>ROUND(BV63,0)</f>
        <v>0</v>
      </c>
      <c r="G805" s="276">
        <f>ROUND(BV64,0)</f>
        <v>3394</v>
      </c>
      <c r="H805" s="276">
        <f>ROUND(BV65,0)</f>
        <v>0</v>
      </c>
      <c r="I805" s="276">
        <f>ROUND(BV66,0)</f>
        <v>20604</v>
      </c>
      <c r="J805" s="276">
        <f>ROUND(BV67,0)</f>
        <v>0</v>
      </c>
      <c r="K805" s="276">
        <f>ROUND(BV68,0)</f>
        <v>1624</v>
      </c>
      <c r="L805" s="276">
        <f>ROUND(BV69,0)</f>
        <v>1337</v>
      </c>
      <c r="M805" s="276">
        <f>ROUND(BV70,0)</f>
        <v>0</v>
      </c>
      <c r="N805" s="276"/>
      <c r="O805" s="276"/>
      <c r="P805" s="276">
        <f>IF(BV76&gt;0,ROUND(BV76,0),0)</f>
        <v>1031</v>
      </c>
      <c r="Q805" s="276">
        <f>IF(BV77&gt;0,ROUND(BV77,0),0)</f>
        <v>0</v>
      </c>
      <c r="R805" s="276">
        <f>IF(BV78&gt;0,ROUND(BV78,0),0)</f>
        <v>117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008*2018*8700*A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0</v>
      </c>
      <c r="G806" s="276">
        <f>ROUND(BW64,0)</f>
        <v>0</v>
      </c>
      <c r="H806" s="276">
        <f>ROUND(BW65,0)</f>
        <v>0</v>
      </c>
      <c r="I806" s="276">
        <f>ROUND(BW66,0)</f>
        <v>0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44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008*2018*8710*A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008*2018*8720*A</v>
      </c>
      <c r="B808" s="276"/>
      <c r="C808" s="278">
        <f>ROUND(BY60,2)</f>
        <v>2.74</v>
      </c>
      <c r="D808" s="276">
        <f>ROUND(BY61,0)</f>
        <v>277123</v>
      </c>
      <c r="E808" s="276">
        <f>ROUND(BY62,0)</f>
        <v>54714</v>
      </c>
      <c r="F808" s="276">
        <f>ROUND(BY63,0)</f>
        <v>0</v>
      </c>
      <c r="G808" s="276">
        <f>ROUND(BY64,0)</f>
        <v>413</v>
      </c>
      <c r="H808" s="276">
        <f>ROUND(BY65,0)</f>
        <v>0</v>
      </c>
      <c r="I808" s="276">
        <f>ROUND(BY66,0)</f>
        <v>0</v>
      </c>
      <c r="J808" s="276">
        <f>ROUND(BY67,0)</f>
        <v>0</v>
      </c>
      <c r="K808" s="276">
        <f>ROUND(BY68,0)</f>
        <v>0</v>
      </c>
      <c r="L808" s="276">
        <f>ROUND(BY69,0)</f>
        <v>0</v>
      </c>
      <c r="M808" s="276">
        <f>ROUND(BY70,0)</f>
        <v>0</v>
      </c>
      <c r="N808" s="276"/>
      <c r="O808" s="276"/>
      <c r="P808" s="276">
        <f>IF(BY76&gt;0,ROUND(BY76,0),0)</f>
        <v>112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008*2018*8730*A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008*2018*8740*A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008*2018*8770*A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008*2018*8790*A</v>
      </c>
      <c r="B812" s="276"/>
      <c r="C812" s="278">
        <f>ROUND(CC60,2)</f>
        <v>0.85</v>
      </c>
      <c r="D812" s="276">
        <f>ROUND(CC61,0)</f>
        <v>50693</v>
      </c>
      <c r="E812" s="276">
        <f>ROUND(CC62,0)</f>
        <v>6232</v>
      </c>
      <c r="F812" s="276">
        <f>ROUND(CC63,0)</f>
        <v>0</v>
      </c>
      <c r="G812" s="276">
        <f>ROUND(CC64,0)</f>
        <v>7633</v>
      </c>
      <c r="H812" s="276">
        <f>ROUND(CC65,0)</f>
        <v>0</v>
      </c>
      <c r="I812" s="276">
        <f>ROUND(CC66,0)</f>
        <v>0</v>
      </c>
      <c r="J812" s="276">
        <f>ROUND(CC67,0)</f>
        <v>0</v>
      </c>
      <c r="K812" s="276">
        <f>ROUND(CC68,0)</f>
        <v>0</v>
      </c>
      <c r="L812" s="276">
        <f>ROUND(CC69,0)</f>
        <v>1186</v>
      </c>
      <c r="M812" s="276">
        <f>ROUND(CC70,0)</f>
        <v>0</v>
      </c>
      <c r="N812" s="276"/>
      <c r="O812" s="276"/>
      <c r="P812" s="276">
        <f>IF(CC76&gt;0,ROUND(CC76,0),0)</f>
        <v>575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008*2018*9000*A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0</v>
      </c>
      <c r="V813" s="277">
        <f>ROUND(CD70,0)</f>
        <v>0</v>
      </c>
      <c r="W813" s="276">
        <f>ROUND(CE72,0)</f>
        <v>0</v>
      </c>
      <c r="X813" s="276">
        <f>ROUND(C131,0)</f>
        <v>264822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186.86</v>
      </c>
      <c r="D815" s="277">
        <f t="shared" si="22"/>
        <v>12960935</v>
      </c>
      <c r="E815" s="277">
        <f t="shared" si="22"/>
        <v>2953873</v>
      </c>
      <c r="F815" s="277">
        <f t="shared" si="22"/>
        <v>1315980</v>
      </c>
      <c r="G815" s="277">
        <f t="shared" si="22"/>
        <v>1696090</v>
      </c>
      <c r="H815" s="277">
        <f t="shared" si="22"/>
        <v>295941</v>
      </c>
      <c r="I815" s="277">
        <f t="shared" si="22"/>
        <v>2196476</v>
      </c>
      <c r="J815" s="277">
        <f t="shared" si="22"/>
        <v>1197226</v>
      </c>
      <c r="K815" s="277">
        <f t="shared" si="22"/>
        <v>387699</v>
      </c>
      <c r="L815" s="277">
        <f>SUM(L734:L813)+SUM(U734:U813)</f>
        <v>1899499</v>
      </c>
      <c r="M815" s="277">
        <f>SUM(M734:M813)+SUM(V734:V813)</f>
        <v>0</v>
      </c>
      <c r="N815" s="277">
        <f t="shared" ref="N815:Y815" si="23">SUM(N734:N813)</f>
        <v>42517946</v>
      </c>
      <c r="O815" s="277">
        <f t="shared" si="23"/>
        <v>2705396</v>
      </c>
      <c r="P815" s="277">
        <f t="shared" si="23"/>
        <v>85625</v>
      </c>
      <c r="Q815" s="277">
        <f t="shared" si="23"/>
        <v>3658</v>
      </c>
      <c r="R815" s="277">
        <f t="shared" si="23"/>
        <v>32988</v>
      </c>
      <c r="S815" s="277">
        <f t="shared" si="23"/>
        <v>8091</v>
      </c>
      <c r="T815" s="281">
        <f t="shared" si="23"/>
        <v>25.439999999999998</v>
      </c>
      <c r="U815" s="277">
        <f t="shared" si="23"/>
        <v>0</v>
      </c>
      <c r="V815" s="277">
        <f t="shared" si="23"/>
        <v>0</v>
      </c>
      <c r="W815" s="277">
        <f t="shared" si="23"/>
        <v>0</v>
      </c>
      <c r="X815" s="277">
        <f t="shared" si="23"/>
        <v>264822</v>
      </c>
      <c r="Y815" s="277">
        <f t="shared" si="23"/>
        <v>8395547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186.86</v>
      </c>
      <c r="D816" s="277">
        <f>CE61</f>
        <v>12960933.459999999</v>
      </c>
      <c r="E816" s="277">
        <f>CE62</f>
        <v>2953873</v>
      </c>
      <c r="F816" s="277">
        <f>CE63</f>
        <v>1315980.24</v>
      </c>
      <c r="G816" s="277">
        <f>CE64</f>
        <v>1696089.5299999998</v>
      </c>
      <c r="H816" s="280">
        <f>CE65</f>
        <v>295941.82000000007</v>
      </c>
      <c r="I816" s="280">
        <f>CE66</f>
        <v>2196476.09</v>
      </c>
      <c r="J816" s="280">
        <f>CE67</f>
        <v>1197226</v>
      </c>
      <c r="K816" s="280">
        <f>CE68</f>
        <v>387696.9</v>
      </c>
      <c r="L816" s="280">
        <f>CE69</f>
        <v>1899499.2800000003</v>
      </c>
      <c r="M816" s="280">
        <f>CE70</f>
        <v>0</v>
      </c>
      <c r="N816" s="277">
        <f>CE75</f>
        <v>42517945.129999988</v>
      </c>
      <c r="O816" s="277">
        <f>CE73</f>
        <v>2705395.7</v>
      </c>
      <c r="P816" s="277">
        <f>CE76</f>
        <v>85625</v>
      </c>
      <c r="Q816" s="277">
        <f>CE77</f>
        <v>3658</v>
      </c>
      <c r="R816" s="277">
        <f>CE78</f>
        <v>32988</v>
      </c>
      <c r="S816" s="277">
        <f>CE79</f>
        <v>8091</v>
      </c>
      <c r="T816" s="281">
        <f>CE80</f>
        <v>25.439999999999998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8395548.0800000001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12960933.41</v>
      </c>
      <c r="E817" s="180">
        <f>C379</f>
        <v>2953875.72</v>
      </c>
      <c r="F817" s="180">
        <f>C380</f>
        <v>1315980.24</v>
      </c>
      <c r="G817" s="240">
        <f>C381</f>
        <v>1696089.53</v>
      </c>
      <c r="H817" s="240">
        <f>C382</f>
        <v>295942</v>
      </c>
      <c r="I817" s="240">
        <f>C383</f>
        <v>2196476.09</v>
      </c>
      <c r="J817" s="240">
        <f>C384</f>
        <v>1197225.8600000001</v>
      </c>
      <c r="K817" s="240">
        <f>C385</f>
        <v>387696.9</v>
      </c>
      <c r="L817" s="240">
        <f>C386+C387+C388+C389</f>
        <v>1899499.2799999998</v>
      </c>
      <c r="M817" s="240">
        <f>C370</f>
        <v>0</v>
      </c>
      <c r="N817" s="180">
        <f>D361</f>
        <v>42517945.130000003</v>
      </c>
      <c r="O817" s="180">
        <f>C359</f>
        <v>2705395.7</v>
      </c>
    </row>
  </sheetData>
  <mergeCells count="1">
    <mergeCell ref="B220:C220"/>
  </mergeCells>
  <phoneticPr fontId="0" type="noConversion"/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F39" sqref="F39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Klickitat County Public Hospital District #1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H-008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310 S Roosevelt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310 S Roosebelt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Goldendale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topLeftCell="A7" zoomScale="75" workbookViewId="0">
      <selection activeCell="K15" sqref="K15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H-8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Klickitat County Public Hospital District #1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Klickitat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Leslie Hiebert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Jim Heilsberg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509.773.4022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509.773.4714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170</v>
      </c>
      <c r="G23" s="21">
        <f>data!D111</f>
        <v>515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61</v>
      </c>
      <c r="G24" s="21">
        <f>data!D112</f>
        <v>808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10</v>
      </c>
      <c r="E31" s="49" t="s">
        <v>289</v>
      </c>
      <c r="F31" s="24"/>
      <c r="G31" s="21">
        <f>data!C124</f>
        <v>7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0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17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25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331188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Klickitat County Public Hospital District #1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126</v>
      </c>
      <c r="C7" s="48">
        <f>data!B139</f>
        <v>368</v>
      </c>
      <c r="D7" s="48">
        <f>data!B140</f>
        <v>0</v>
      </c>
      <c r="E7" s="48">
        <f>data!B141</f>
        <v>2168539</v>
      </c>
      <c r="F7" s="48">
        <f>data!B142</f>
        <v>19310146</v>
      </c>
      <c r="G7" s="48">
        <f>data!B141+data!B142</f>
        <v>21478685</v>
      </c>
    </row>
    <row r="8" spans="1:13" ht="20.100000000000001" customHeight="1" x14ac:dyDescent="0.25">
      <c r="A8" s="23" t="s">
        <v>297</v>
      </c>
      <c r="B8" s="48">
        <f>data!C138</f>
        <v>24</v>
      </c>
      <c r="C8" s="48">
        <f>data!C139</f>
        <v>79</v>
      </c>
      <c r="D8" s="48">
        <f>data!C140</f>
        <v>0</v>
      </c>
      <c r="E8" s="48">
        <f>data!C141</f>
        <v>569474.9</v>
      </c>
      <c r="F8" s="48">
        <f>data!C142</f>
        <v>11188381</v>
      </c>
      <c r="G8" s="48">
        <f>data!C141+data!C142</f>
        <v>11757855.9</v>
      </c>
    </row>
    <row r="9" spans="1:13" ht="20.100000000000001" customHeight="1" x14ac:dyDescent="0.25">
      <c r="A9" s="23" t="s">
        <v>1058</v>
      </c>
      <c r="B9" s="48">
        <f>data!D138</f>
        <v>20</v>
      </c>
      <c r="C9" s="48">
        <f>data!D139</f>
        <v>68</v>
      </c>
      <c r="D9" s="48">
        <f>data!D140</f>
        <v>0</v>
      </c>
      <c r="E9" s="48">
        <f>data!D141</f>
        <v>500309.44</v>
      </c>
      <c r="F9" s="48">
        <f>data!D142</f>
        <v>10335136</v>
      </c>
      <c r="G9" s="48">
        <f>data!D141+data!D142</f>
        <v>10835445.439999999</v>
      </c>
    </row>
    <row r="10" spans="1:13" ht="20.100000000000001" customHeight="1" x14ac:dyDescent="0.25">
      <c r="A10" s="111" t="s">
        <v>203</v>
      </c>
      <c r="B10" s="48">
        <f>data!E138</f>
        <v>170</v>
      </c>
      <c r="C10" s="48">
        <f>data!E139</f>
        <v>515</v>
      </c>
      <c r="D10" s="48">
        <f>data!E140</f>
        <v>0</v>
      </c>
      <c r="E10" s="48">
        <f>data!E141</f>
        <v>3238323.34</v>
      </c>
      <c r="F10" s="48">
        <f>data!E142</f>
        <v>40833663</v>
      </c>
      <c r="G10" s="48">
        <f>data!E141+data!E142</f>
        <v>44071986.340000004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52</v>
      </c>
      <c r="C16" s="48">
        <f>data!B145</f>
        <v>646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6</v>
      </c>
      <c r="C17" s="48">
        <f>data!C145</f>
        <v>76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3</v>
      </c>
      <c r="C18" s="48">
        <f>data!D145</f>
        <v>86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61</v>
      </c>
      <c r="C19" s="48">
        <f>data!E145</f>
        <v>808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Klickitat County Public Hospital District #1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929961.78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-3174.29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91819.32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1848964.35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14154.07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309389.89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34607.32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3225722.44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3517.11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431893.48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435410.58999999997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110561.5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61746.77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172308.27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28805.24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0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665721.22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694526.46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242153.56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242153.56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Klickitat County Public Hospital District #1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203706.33</v>
      </c>
      <c r="D7" s="21">
        <f>data!C195</f>
        <v>0</v>
      </c>
      <c r="E7" s="21">
        <f>data!D195</f>
        <v>0</v>
      </c>
      <c r="F7" s="21">
        <f>data!E195</f>
        <v>203706.33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1735411.47</v>
      </c>
      <c r="D8" s="21">
        <f>data!C196</f>
        <v>47284.25</v>
      </c>
      <c r="E8" s="21">
        <f>data!D196</f>
        <v>0</v>
      </c>
      <c r="F8" s="21">
        <f>data!E196</f>
        <v>1782695.72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13441796.470000001</v>
      </c>
      <c r="D9" s="21">
        <f>data!C197</f>
        <v>217534.38</v>
      </c>
      <c r="E9" s="21">
        <f>data!D197</f>
        <v>0</v>
      </c>
      <c r="F9" s="21">
        <f>data!E197</f>
        <v>13659330.850000001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6685658.3399999999</v>
      </c>
      <c r="D10" s="21">
        <f>data!C198</f>
        <v>138439.28999999998</v>
      </c>
      <c r="E10" s="21">
        <f>data!D198</f>
        <v>0</v>
      </c>
      <c r="F10" s="21">
        <f>data!E198</f>
        <v>6824097.6299999999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230742.95</v>
      </c>
      <c r="D11" s="21">
        <f>data!C199</f>
        <v>106405.02</v>
      </c>
      <c r="E11" s="21">
        <f>data!D199</f>
        <v>0</v>
      </c>
      <c r="F11" s="21">
        <f>data!E199</f>
        <v>337147.97000000003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6767507.3399999999</v>
      </c>
      <c r="D12" s="21">
        <f>data!C200</f>
        <v>371738.98</v>
      </c>
      <c r="E12" s="21">
        <f>data!D200</f>
        <v>0</v>
      </c>
      <c r="F12" s="21">
        <f>data!E200</f>
        <v>7139246.3200000003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176694</v>
      </c>
      <c r="D15" s="21">
        <f>data!C203</f>
        <v>534303</v>
      </c>
      <c r="E15" s="21">
        <f>data!D203</f>
        <v>499488</v>
      </c>
      <c r="F15" s="21">
        <f>data!E203</f>
        <v>211509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29241516.899999999</v>
      </c>
      <c r="D16" s="21">
        <f>data!C204</f>
        <v>1415704.92</v>
      </c>
      <c r="E16" s="21">
        <f>data!D204</f>
        <v>499488</v>
      </c>
      <c r="F16" s="21">
        <f>data!E204</f>
        <v>30157733.82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1236578.29</v>
      </c>
      <c r="D24" s="21">
        <f>data!C209</f>
        <v>102918.52</v>
      </c>
      <c r="E24" s="21">
        <f>data!D209</f>
        <v>0</v>
      </c>
      <c r="F24" s="21">
        <f>data!E209</f>
        <v>1339496.81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7354969.2800000003</v>
      </c>
      <c r="D25" s="21">
        <f>data!C210</f>
        <v>376151.34</v>
      </c>
      <c r="E25" s="21">
        <f>data!D210</f>
        <v>0</v>
      </c>
      <c r="F25" s="21">
        <f>data!E210</f>
        <v>7731120.6200000001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3964653.14</v>
      </c>
      <c r="D26" s="21">
        <f>data!C211</f>
        <v>398600.47</v>
      </c>
      <c r="E26" s="21">
        <f>data!D211</f>
        <v>0</v>
      </c>
      <c r="F26" s="21">
        <f>data!E211</f>
        <v>4363253.6100000003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222486.39</v>
      </c>
      <c r="D27" s="21">
        <f>data!C212</f>
        <v>3430.93</v>
      </c>
      <c r="E27" s="21">
        <f>data!D212</f>
        <v>0</v>
      </c>
      <c r="F27" s="21">
        <f>data!E212</f>
        <v>225917.32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5758824.6299999999</v>
      </c>
      <c r="D28" s="21">
        <f>data!C213</f>
        <v>365699.35</v>
      </c>
      <c r="E28" s="21">
        <f>data!D213</f>
        <v>0</v>
      </c>
      <c r="F28" s="21">
        <f>data!E213</f>
        <v>6124523.9799999995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18537511.73</v>
      </c>
      <c r="D32" s="21">
        <f>data!C217</f>
        <v>1246800.6100000001</v>
      </c>
      <c r="E32" s="21">
        <f>data!D217</f>
        <v>0</v>
      </c>
      <c r="F32" s="21">
        <f>data!E217</f>
        <v>19784312.34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Klickitat County Public Hospital District #1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1487621.8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8656586.3800000008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6788944.3700000001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99215.75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2427690.98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17972437.48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0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0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583768.39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583768.39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100588.72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-24.8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20144391.590000004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Klickitat County Public Hospital District #1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2292544.06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8217652.0300000003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4244315.7300000004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111411.92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928595.04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166944.53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130525.31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7603357.1599999992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327197.09000000003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327197.09000000003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203706.33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1782695.72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13659330.85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6824097.6299999999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337147.97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7139246.3200000003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211509.94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30157734.760000002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19784312.309999999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10373422.450000003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18303976.700000003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Klickitat County Public Hospital District #1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206543.25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865313.73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1167842.8799999999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16878.47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472000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82962.39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559792.68999999994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961783.09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4333116.5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5449096.0199999996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57057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5506153.0199999996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961783.09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4544369.93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8189027.4100000001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1237462.8600000001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9426490.2699999996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18303976.699999999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Klickitat County Public Hospital District #1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3417356.49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41377004.060000002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44794360.550000004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1487621.8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18073001.399999999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583768.39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20144391.59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24649968.960000005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0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0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24649968.960000005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13136786.27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3225722.44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3106398.26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1720315.01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309685.61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2060619.33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1237938.49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435410.59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172308.27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28805.24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242153.56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724606.83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26400749.899999995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-1750780.9399999902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2988243.12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1237462.1800000099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1237462.1800000099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O16" sqref="O1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Klickitat County Public Hospital District #1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0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0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1346064.15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349554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952805.29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96775.86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8305.01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40789.72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0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52794.39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23884.58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2870973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 t="e">
        <f>+data!M668</f>
        <v>#DIV/0!</v>
      </c>
      <c r="D23" s="48" t="e">
        <f>+data!M669</f>
        <v>#DIV/0!</v>
      </c>
      <c r="E23" s="48" t="e">
        <f>+data!M670</f>
        <v>#DIV/0!</v>
      </c>
      <c r="F23" s="48" t="e">
        <f>+data!M671</f>
        <v>#DIV/0!</v>
      </c>
      <c r="G23" s="48" t="e">
        <f>+data!M672</f>
        <v>#DIV/0!</v>
      </c>
      <c r="H23" s="48" t="e">
        <f>+data!M673</f>
        <v>#DIV/0!</v>
      </c>
      <c r="I23" s="48" t="e">
        <f>+data!M674</f>
        <v>#DIV/0!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1726207.2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918126.67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2644333.87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5592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4752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0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0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10.33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Klickitat County Public Hospital District #1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0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277271.57</v>
      </c>
      <c r="G43" s="14">
        <f>data!N61</f>
        <v>234287.22</v>
      </c>
      <c r="H43" s="14">
        <f>data!O61</f>
        <v>0</v>
      </c>
      <c r="I43" s="14">
        <f>data!P61</f>
        <v>691273.08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37249</v>
      </c>
      <c r="G44" s="14">
        <f>data!N62</f>
        <v>47837</v>
      </c>
      <c r="H44" s="14">
        <f>data!O62</f>
        <v>0</v>
      </c>
      <c r="I44" s="14">
        <f>data!P62</f>
        <v>111143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474509.99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66056.34</v>
      </c>
      <c r="G46" s="14">
        <f>data!N64</f>
        <v>580.5</v>
      </c>
      <c r="H46" s="14">
        <f>data!O64</f>
        <v>0</v>
      </c>
      <c r="I46" s="14">
        <f>data!P64</f>
        <v>259331.29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416.30200000000002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1469.83</v>
      </c>
      <c r="G48" s="14">
        <f>data!N66</f>
        <v>217.69</v>
      </c>
      <c r="H48" s="14">
        <f>data!O66</f>
        <v>0</v>
      </c>
      <c r="I48" s="14">
        <f>data!P66</f>
        <v>26143.33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0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8725.18</v>
      </c>
      <c r="G50" s="14">
        <f>data!N68</f>
        <v>0</v>
      </c>
      <c r="H50" s="14">
        <f>data!O68</f>
        <v>0</v>
      </c>
      <c r="I50" s="14">
        <f>data!P68</f>
        <v>9789.93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5977.5</v>
      </c>
      <c r="G51" s="14">
        <f>data!N69</f>
        <v>12204.07</v>
      </c>
      <c r="H51" s="14">
        <f>data!O69</f>
        <v>0</v>
      </c>
      <c r="I51" s="14">
        <f>data!P69</f>
        <v>10868.32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397165.72200000007</v>
      </c>
      <c r="G53" s="14">
        <f>data!N71</f>
        <v>295126.48</v>
      </c>
      <c r="H53" s="14">
        <f>data!O71</f>
        <v>0</v>
      </c>
      <c r="I53" s="14">
        <f>data!P71</f>
        <v>1583058.94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 t="e">
        <f>+data!M675</f>
        <v>#DIV/0!</v>
      </c>
      <c r="D55" s="48" t="e">
        <f>+data!M676</f>
        <v>#DIV/0!</v>
      </c>
      <c r="E55" s="48" t="e">
        <f>+data!M677</f>
        <v>#DIV/0!</v>
      </c>
      <c r="F55" s="48" t="e">
        <f>+data!M678</f>
        <v>#DIV/0!</v>
      </c>
      <c r="G55" s="48" t="e">
        <f>+data!M679</f>
        <v>#DIV/0!</v>
      </c>
      <c r="H55" s="48" t="e">
        <f>+data!M680</f>
        <v>#DIV/0!</v>
      </c>
      <c r="I55" s="48" t="e">
        <f>+data!M681</f>
        <v>#DIV/0!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8073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677430</v>
      </c>
      <c r="G57" s="14">
        <f>data!N74</f>
        <v>549689</v>
      </c>
      <c r="H57" s="14">
        <f>data!O74</f>
        <v>0</v>
      </c>
      <c r="I57" s="14">
        <f>data!P74</f>
        <v>2868411.3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677430</v>
      </c>
      <c r="G58" s="14">
        <f>data!N75</f>
        <v>549689</v>
      </c>
      <c r="H58" s="14">
        <f>data!O75</f>
        <v>0</v>
      </c>
      <c r="I58" s="14">
        <f>data!P75</f>
        <v>2876484.3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5691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0.84</v>
      </c>
      <c r="G64" s="26">
        <f>data!N80</f>
        <v>0</v>
      </c>
      <c r="H64" s="26">
        <f>data!O80</f>
        <v>0</v>
      </c>
      <c r="I64" s="26">
        <f>data!P80</f>
        <v>2.7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Klickitat County Public Hospital District #1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0</v>
      </c>
      <c r="F74" s="26">
        <f>data!T60</f>
        <v>0</v>
      </c>
      <c r="G74" s="26">
        <f>data!U60</f>
        <v>0</v>
      </c>
      <c r="H74" s="26">
        <f>data!V60</f>
        <v>0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217618.6</v>
      </c>
      <c r="E75" s="14">
        <f>data!S61</f>
        <v>0</v>
      </c>
      <c r="F75" s="14">
        <f>data!T61</f>
        <v>0</v>
      </c>
      <c r="G75" s="14">
        <f>data!U61</f>
        <v>564173.72</v>
      </c>
      <c r="H75" s="14">
        <f>data!V61</f>
        <v>0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35370</v>
      </c>
      <c r="E76" s="14">
        <f>data!S62</f>
        <v>0</v>
      </c>
      <c r="F76" s="14">
        <f>data!T62</f>
        <v>0</v>
      </c>
      <c r="G76" s="14">
        <f>data!U62</f>
        <v>112035</v>
      </c>
      <c r="H76" s="14">
        <f>data!V62</f>
        <v>0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104570.21</v>
      </c>
      <c r="E77" s="14">
        <f>data!S63</f>
        <v>0</v>
      </c>
      <c r="F77" s="14">
        <f>data!T63</f>
        <v>0</v>
      </c>
      <c r="G77" s="14">
        <f>data!U63</f>
        <v>107790.5</v>
      </c>
      <c r="H77" s="14">
        <f>data!V63</f>
        <v>0</v>
      </c>
      <c r="I77" s="14">
        <f>data!W63</f>
        <v>51646.080000000002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14233.41</v>
      </c>
      <c r="E78" s="14">
        <f>data!S64</f>
        <v>0</v>
      </c>
      <c r="F78" s="14">
        <f>data!T64</f>
        <v>0</v>
      </c>
      <c r="G78" s="14">
        <f>data!U64</f>
        <v>347042.09</v>
      </c>
      <c r="H78" s="14">
        <f>data!V64</f>
        <v>0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797.01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0</v>
      </c>
      <c r="G80" s="14">
        <f>data!U66</f>
        <v>139387.82999999999</v>
      </c>
      <c r="H80" s="14">
        <f>data!V66</f>
        <v>0</v>
      </c>
      <c r="I80" s="14">
        <f>data!W66</f>
        <v>1439.38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0</v>
      </c>
      <c r="F81" s="14">
        <f>data!T67</f>
        <v>0</v>
      </c>
      <c r="G81" s="14">
        <f>data!U67</f>
        <v>0</v>
      </c>
      <c r="H81" s="14">
        <f>data!V67</f>
        <v>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23830.58</v>
      </c>
      <c r="H82" s="14">
        <f>data!V68</f>
        <v>0</v>
      </c>
      <c r="I82" s="14">
        <f>data!W68</f>
        <v>248304.09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1823.5</v>
      </c>
      <c r="E83" s="14">
        <f>data!S69</f>
        <v>0</v>
      </c>
      <c r="F83" s="14">
        <f>data!T69</f>
        <v>0</v>
      </c>
      <c r="G83" s="14">
        <f>data!U69</f>
        <v>7854.01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0</v>
      </c>
      <c r="D85" s="14">
        <f>data!R71</f>
        <v>373615.72</v>
      </c>
      <c r="E85" s="14">
        <f>data!S71</f>
        <v>0</v>
      </c>
      <c r="F85" s="14">
        <f>data!T71</f>
        <v>0</v>
      </c>
      <c r="G85" s="14">
        <f>data!U71</f>
        <v>1302113.7300000002</v>
      </c>
      <c r="H85" s="14">
        <f>data!V71</f>
        <v>0</v>
      </c>
      <c r="I85" s="14">
        <f>data!W71</f>
        <v>302186.56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 t="e">
        <f>+data!M682</f>
        <v>#DIV/0!</v>
      </c>
      <c r="D87" s="48" t="e">
        <f>+data!M683</f>
        <v>#DIV/0!</v>
      </c>
      <c r="E87" s="48" t="e">
        <f>+data!M684</f>
        <v>#DIV/0!</v>
      </c>
      <c r="F87" s="48" t="e">
        <f>+data!M685</f>
        <v>#DIV/0!</v>
      </c>
      <c r="G87" s="48" t="e">
        <f>+data!M686</f>
        <v>#DIV/0!</v>
      </c>
      <c r="H87" s="48" t="e">
        <f>+data!M687</f>
        <v>#DIV/0!</v>
      </c>
      <c r="I87" s="48" t="e">
        <f>+data!M688</f>
        <v>#DIV/0!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0</v>
      </c>
      <c r="D88" s="14">
        <f>data!R73</f>
        <v>3990</v>
      </c>
      <c r="E88" s="14">
        <f>data!S73</f>
        <v>0</v>
      </c>
      <c r="F88" s="14">
        <f>data!T73</f>
        <v>0</v>
      </c>
      <c r="G88" s="14">
        <f>data!U73</f>
        <v>255626.71</v>
      </c>
      <c r="H88" s="14">
        <f>data!V73</f>
        <v>0</v>
      </c>
      <c r="I88" s="14">
        <f>data!W73</f>
        <v>45563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0</v>
      </c>
      <c r="D89" s="14">
        <f>data!R74</f>
        <v>273058</v>
      </c>
      <c r="E89" s="14">
        <f>data!S74</f>
        <v>0</v>
      </c>
      <c r="F89" s="14">
        <f>data!T74</f>
        <v>0</v>
      </c>
      <c r="G89" s="14">
        <f>data!U74</f>
        <v>5093331.6900000004</v>
      </c>
      <c r="H89" s="14">
        <f>data!V74</f>
        <v>0</v>
      </c>
      <c r="I89" s="14">
        <f>data!W74</f>
        <v>1504890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0</v>
      </c>
      <c r="D90" s="14">
        <f>data!R75</f>
        <v>277048</v>
      </c>
      <c r="E90" s="14">
        <f>data!S75</f>
        <v>0</v>
      </c>
      <c r="F90" s="14">
        <f>data!T75</f>
        <v>0</v>
      </c>
      <c r="G90" s="14">
        <f>data!U75</f>
        <v>5348958.4000000004</v>
      </c>
      <c r="H90" s="14">
        <f>data!V75</f>
        <v>0</v>
      </c>
      <c r="I90" s="14">
        <f>data!W75</f>
        <v>1550453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0</v>
      </c>
      <c r="F92" s="14">
        <f>data!T76</f>
        <v>0</v>
      </c>
      <c r="G92" s="14">
        <f>data!U76</f>
        <v>1784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0.64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Klickitat County Public Hospital District #1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0</v>
      </c>
      <c r="E106" s="26">
        <f>data!Z60</f>
        <v>0</v>
      </c>
      <c r="F106" s="26">
        <f>data!AA60</f>
        <v>0</v>
      </c>
      <c r="G106" s="26">
        <f>data!AB60</f>
        <v>0</v>
      </c>
      <c r="H106" s="26">
        <f>data!AC60</f>
        <v>0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77739.73</v>
      </c>
      <c r="D107" s="14">
        <f>data!Y61</f>
        <v>623447.05000000005</v>
      </c>
      <c r="E107" s="14">
        <f>data!Z61</f>
        <v>0</v>
      </c>
      <c r="F107" s="14">
        <f>data!AA61</f>
        <v>0</v>
      </c>
      <c r="G107" s="14">
        <f>data!AB61</f>
        <v>240010.3</v>
      </c>
      <c r="H107" s="14">
        <f>data!AC61</f>
        <v>54649.26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1298</v>
      </c>
      <c r="D108" s="14">
        <f>data!Y62</f>
        <v>143126</v>
      </c>
      <c r="E108" s="14">
        <f>data!Z62</f>
        <v>0</v>
      </c>
      <c r="F108" s="14">
        <f>data!AA62</f>
        <v>0</v>
      </c>
      <c r="G108" s="14">
        <f>data!AB62</f>
        <v>37722</v>
      </c>
      <c r="H108" s="14">
        <f>data!AC62</f>
        <v>10267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138571.17000000001</v>
      </c>
      <c r="D109" s="14">
        <f>data!Y63</f>
        <v>246096.88</v>
      </c>
      <c r="E109" s="14">
        <f>data!Z63</f>
        <v>0</v>
      </c>
      <c r="F109" s="14">
        <f>data!AA63</f>
        <v>0</v>
      </c>
      <c r="G109" s="14">
        <f>data!AB63</f>
        <v>1969.37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47904.29</v>
      </c>
      <c r="D110" s="14">
        <f>data!Y64</f>
        <v>29845.22</v>
      </c>
      <c r="E110" s="14">
        <f>data!Z64</f>
        <v>0</v>
      </c>
      <c r="F110" s="14">
        <f>data!AA64</f>
        <v>0</v>
      </c>
      <c r="G110" s="14">
        <f>data!AB64</f>
        <v>180404.31</v>
      </c>
      <c r="H110" s="14">
        <f>data!AC64</f>
        <v>-1707.8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1992.57</v>
      </c>
      <c r="D111" s="14">
        <f>data!Y65</f>
        <v>5018.09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99021.73</v>
      </c>
      <c r="D112" s="14">
        <f>data!Y66</f>
        <v>140598.70000000001</v>
      </c>
      <c r="E112" s="14">
        <f>data!Z66</f>
        <v>0</v>
      </c>
      <c r="F112" s="14">
        <f>data!AA66</f>
        <v>0</v>
      </c>
      <c r="G112" s="14">
        <f>data!AB66</f>
        <v>86595.5</v>
      </c>
      <c r="H112" s="14">
        <f>data!AC66</f>
        <v>376.35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0</v>
      </c>
      <c r="E113" s="14">
        <f>data!Z67</f>
        <v>0</v>
      </c>
      <c r="F113" s="14">
        <f>data!AA67</f>
        <v>0</v>
      </c>
      <c r="G113" s="14">
        <f>data!AB67</f>
        <v>0</v>
      </c>
      <c r="H113" s="14">
        <f>data!AC67</f>
        <v>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24143.5</v>
      </c>
      <c r="E114" s="14">
        <f>data!Z68</f>
        <v>0</v>
      </c>
      <c r="F114" s="14">
        <f>data!AA68</f>
        <v>0</v>
      </c>
      <c r="G114" s="14">
        <f>data!AB68</f>
        <v>8807.1200000000008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3579</v>
      </c>
      <c r="D115" s="14">
        <f>data!Y69</f>
        <v>4504.46</v>
      </c>
      <c r="E115" s="14">
        <f>data!Z69</f>
        <v>0</v>
      </c>
      <c r="F115" s="14">
        <f>data!AA69</f>
        <v>0</v>
      </c>
      <c r="G115" s="14">
        <f>data!AB69</f>
        <v>5703.12</v>
      </c>
      <c r="H115" s="14">
        <f>data!AC69</f>
        <v>0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370106.49</v>
      </c>
      <c r="D117" s="14">
        <f>data!Y71</f>
        <v>1216779.8999999999</v>
      </c>
      <c r="E117" s="14">
        <f>data!Z71</f>
        <v>0</v>
      </c>
      <c r="F117" s="14">
        <f>data!AA71</f>
        <v>0</v>
      </c>
      <c r="G117" s="14">
        <f>data!AB71</f>
        <v>561211.72</v>
      </c>
      <c r="H117" s="14">
        <f>data!AC71</f>
        <v>63584.81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 t="e">
        <f>+data!M689</f>
        <v>#DIV/0!</v>
      </c>
      <c r="D119" s="48" t="e">
        <f>+data!M690</f>
        <v>#DIV/0!</v>
      </c>
      <c r="E119" s="48" t="e">
        <f>+data!M691</f>
        <v>#DIV/0!</v>
      </c>
      <c r="F119" s="48" t="e">
        <f>+data!M692</f>
        <v>#DIV/0!</v>
      </c>
      <c r="G119" s="48" t="e">
        <f>+data!M693</f>
        <v>#DIV/0!</v>
      </c>
      <c r="H119" s="48" t="e">
        <f>+data!M694</f>
        <v>#DIV/0!</v>
      </c>
      <c r="I119" s="48" t="e">
        <f>+data!M695</f>
        <v>#DIV/0!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152787</v>
      </c>
      <c r="D120" s="14">
        <f>data!Y73</f>
        <v>246652</v>
      </c>
      <c r="E120" s="14">
        <f>data!Z73</f>
        <v>0</v>
      </c>
      <c r="F120" s="14">
        <f>data!AA73</f>
        <v>0</v>
      </c>
      <c r="G120" s="14">
        <f>data!AB73</f>
        <v>654020.57999999996</v>
      </c>
      <c r="H120" s="14">
        <f>data!AC73</f>
        <v>49346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4864076</v>
      </c>
      <c r="D121" s="14">
        <f>data!Y74</f>
        <v>4698013.82</v>
      </c>
      <c r="E121" s="14">
        <f>data!Z74</f>
        <v>0</v>
      </c>
      <c r="F121" s="14">
        <f>data!AA74</f>
        <v>0</v>
      </c>
      <c r="G121" s="14">
        <f>data!AB74</f>
        <v>1248165.57</v>
      </c>
      <c r="H121" s="14">
        <f>data!AC74</f>
        <v>178306.92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5016863</v>
      </c>
      <c r="D122" s="14">
        <f>data!Y75</f>
        <v>4944665.82</v>
      </c>
      <c r="E122" s="14">
        <f>data!Z75</f>
        <v>0</v>
      </c>
      <c r="F122" s="14">
        <f>data!AA75</f>
        <v>0</v>
      </c>
      <c r="G122" s="14">
        <f>data!AB75</f>
        <v>1902186.15</v>
      </c>
      <c r="H122" s="14">
        <f>data!AC75</f>
        <v>227652.92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621</v>
      </c>
      <c r="D124" s="14">
        <f>data!Y76</f>
        <v>2257</v>
      </c>
      <c r="E124" s="14">
        <f>data!Z76</f>
        <v>0</v>
      </c>
      <c r="F124" s="14">
        <f>data!AA76</f>
        <v>0</v>
      </c>
      <c r="G124" s="14">
        <f>data!AB76</f>
        <v>239</v>
      </c>
      <c r="H124" s="14">
        <f>data!AC76</f>
        <v>342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0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Klickitat County Public Hospital District #1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0</v>
      </c>
      <c r="F138" s="26">
        <f>data!AH60</f>
        <v>0</v>
      </c>
      <c r="G138" s="26">
        <f>data!AI60</f>
        <v>0</v>
      </c>
      <c r="H138" s="26">
        <f>data!AJ60</f>
        <v>0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641608.28</v>
      </c>
      <c r="D139" s="14">
        <f>data!AF61</f>
        <v>0</v>
      </c>
      <c r="E139" s="14">
        <f>data!AG61</f>
        <v>1415817.08</v>
      </c>
      <c r="F139" s="14">
        <f>data!AH61</f>
        <v>0</v>
      </c>
      <c r="G139" s="14">
        <f>data!AI61</f>
        <v>0</v>
      </c>
      <c r="H139" s="14">
        <f>data!AJ61</f>
        <v>2663615.91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143598</v>
      </c>
      <c r="D140" s="14">
        <f>data!AF62</f>
        <v>0</v>
      </c>
      <c r="E140" s="14">
        <f>data!AG62</f>
        <v>230468</v>
      </c>
      <c r="F140" s="14">
        <f>data!AH62</f>
        <v>0</v>
      </c>
      <c r="G140" s="14">
        <f>data!AI62</f>
        <v>0</v>
      </c>
      <c r="H140" s="14">
        <f>data!AJ62</f>
        <v>665379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71645</v>
      </c>
      <c r="D141" s="14">
        <f>data!AF63</f>
        <v>0</v>
      </c>
      <c r="E141" s="14">
        <f>data!AG63</f>
        <v>823770.85</v>
      </c>
      <c r="F141" s="14">
        <f>data!AH63</f>
        <v>0</v>
      </c>
      <c r="G141" s="14">
        <f>data!AI63</f>
        <v>0</v>
      </c>
      <c r="H141" s="14">
        <f>data!AJ63</f>
        <v>65946.039999999994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15145.2</v>
      </c>
      <c r="D142" s="14">
        <f>data!AF64</f>
        <v>0</v>
      </c>
      <c r="E142" s="14">
        <f>data!AG64</f>
        <v>67958.759999999995</v>
      </c>
      <c r="F142" s="14">
        <f>data!AH64</f>
        <v>0</v>
      </c>
      <c r="G142" s="14">
        <f>data!AI64</f>
        <v>0</v>
      </c>
      <c r="H142" s="14">
        <f>data!AJ64</f>
        <v>186311.52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319.47000000000003</v>
      </c>
      <c r="F143" s="14">
        <f>data!AH65</f>
        <v>0</v>
      </c>
      <c r="G143" s="14">
        <f>data!AI65</f>
        <v>0</v>
      </c>
      <c r="H143" s="14">
        <f>data!AJ65</f>
        <v>51216.13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43484.61</v>
      </c>
      <c r="D144" s="14">
        <f>data!AF66</f>
        <v>0</v>
      </c>
      <c r="E144" s="14">
        <f>data!AG66</f>
        <v>13846.18</v>
      </c>
      <c r="F144" s="14">
        <f>data!AH66</f>
        <v>0</v>
      </c>
      <c r="G144" s="14">
        <f>data!AI66</f>
        <v>0</v>
      </c>
      <c r="H144" s="14">
        <f>data!AJ66</f>
        <v>149647.88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0</v>
      </c>
      <c r="F145" s="14">
        <f>data!AH67</f>
        <v>0</v>
      </c>
      <c r="G145" s="14">
        <f>data!AI67</f>
        <v>0</v>
      </c>
      <c r="H145" s="14">
        <f>data!AJ67</f>
        <v>190971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21932.38</v>
      </c>
      <c r="F146" s="14">
        <f>data!AH68</f>
        <v>0</v>
      </c>
      <c r="G146" s="14">
        <f>data!AI68</f>
        <v>0</v>
      </c>
      <c r="H146" s="14">
        <f>data!AJ68</f>
        <v>10034.07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7925.23</v>
      </c>
      <c r="D147" s="14">
        <f>data!AF69</f>
        <v>0</v>
      </c>
      <c r="E147" s="14">
        <f>data!AG69</f>
        <v>11099.5</v>
      </c>
      <c r="F147" s="14">
        <f>data!AH69</f>
        <v>0</v>
      </c>
      <c r="G147" s="14">
        <f>data!AI69</f>
        <v>0</v>
      </c>
      <c r="H147" s="14">
        <f>data!AJ69</f>
        <v>137148.07999999999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923406.32</v>
      </c>
      <c r="D149" s="14">
        <f>data!AF71</f>
        <v>0</v>
      </c>
      <c r="E149" s="14">
        <f>data!AG71</f>
        <v>2585212.2200000002</v>
      </c>
      <c r="F149" s="14">
        <f>data!AH71</f>
        <v>0</v>
      </c>
      <c r="G149" s="14">
        <f>data!AI71</f>
        <v>0</v>
      </c>
      <c r="H149" s="14">
        <f>data!AJ71</f>
        <v>4120269.63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 t="e">
        <f>+data!M696</f>
        <v>#DIV/0!</v>
      </c>
      <c r="D151" s="48" t="e">
        <f>+data!M697</f>
        <v>#DIV/0!</v>
      </c>
      <c r="E151" s="48" t="e">
        <f>+data!M698</f>
        <v>#DIV/0!</v>
      </c>
      <c r="F151" s="48" t="e">
        <f>+data!M699</f>
        <v>#DIV/0!</v>
      </c>
      <c r="G151" s="48" t="e">
        <f>+data!M700</f>
        <v>#DIV/0!</v>
      </c>
      <c r="H151" s="48" t="e">
        <f>+data!M701</f>
        <v>#DIV/0!</v>
      </c>
      <c r="I151" s="48" t="e">
        <f>+data!M702</f>
        <v>#DIV/0!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183699</v>
      </c>
      <c r="D152" s="14">
        <f>data!AF73</f>
        <v>0</v>
      </c>
      <c r="E152" s="14">
        <f>data!AG73</f>
        <v>91392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1930777.39</v>
      </c>
      <c r="D153" s="14">
        <f>data!AF74</f>
        <v>0</v>
      </c>
      <c r="E153" s="14">
        <f>data!AG74</f>
        <v>10228824.76</v>
      </c>
      <c r="F153" s="14">
        <f>data!AH74</f>
        <v>0</v>
      </c>
      <c r="G153" s="14">
        <f>data!AI74</f>
        <v>0</v>
      </c>
      <c r="H153" s="14">
        <f>data!AJ74</f>
        <v>5735843.0599999996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2114476.3899999997</v>
      </c>
      <c r="D154" s="14">
        <f>data!AF75</f>
        <v>0</v>
      </c>
      <c r="E154" s="14">
        <f>data!AG75</f>
        <v>10320216.76</v>
      </c>
      <c r="F154" s="14">
        <f>data!AH75</f>
        <v>0</v>
      </c>
      <c r="G154" s="14">
        <f>data!AI75</f>
        <v>0</v>
      </c>
      <c r="H154" s="14">
        <f>data!AJ75</f>
        <v>5735843.0599999996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4611</v>
      </c>
      <c r="D156" s="14">
        <f>data!AF76</f>
        <v>0</v>
      </c>
      <c r="E156" s="14">
        <f>data!AG76</f>
        <v>2054</v>
      </c>
      <c r="F156" s="14">
        <f>data!AH76</f>
        <v>0</v>
      </c>
      <c r="G156" s="14">
        <f>data!AI76</f>
        <v>0</v>
      </c>
      <c r="H156" s="14">
        <f>data!AJ76</f>
        <v>12898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7.28</v>
      </c>
      <c r="F160" s="26">
        <f>data!AH80</f>
        <v>0</v>
      </c>
      <c r="G160" s="26">
        <f>data!AI80</f>
        <v>0</v>
      </c>
      <c r="H160" s="26">
        <f>data!AJ80</f>
        <v>1.55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Klickitat County Public Hospital District #1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297890.09999999998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50538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16062.14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55.44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16207.02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15984.9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396737.60000000003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 t="e">
        <f>+data!M703</f>
        <v>#DIV/0!</v>
      </c>
      <c r="D183" s="48" t="e">
        <f>+data!M704</f>
        <v>#DIV/0!</v>
      </c>
      <c r="E183" s="48" t="e">
        <f>+data!M705</f>
        <v>#DIV/0!</v>
      </c>
      <c r="F183" s="48" t="e">
        <f>+data!M706</f>
        <v>#DIV/0!</v>
      </c>
      <c r="G183" s="48" t="e">
        <f>+data!M707</f>
        <v>#DIV/0!</v>
      </c>
      <c r="H183" s="48" t="e">
        <f>+data!M708</f>
        <v>#DIV/0!</v>
      </c>
      <c r="I183" s="48" t="e">
        <f>+data!M709</f>
        <v>#DIV/0!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525605.06000000006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525605.06000000006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987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0.56999999999999995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Klickitat County Public Hospital District #1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4752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0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79360.77</v>
      </c>
      <c r="H203" s="14">
        <f>data!AX61</f>
        <v>0</v>
      </c>
      <c r="I203" s="14">
        <f>data!AY61</f>
        <v>271147.84000000003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21599</v>
      </c>
      <c r="H204" s="14">
        <f>data!AX62</f>
        <v>0</v>
      </c>
      <c r="I204" s="14">
        <f>data!AY62</f>
        <v>92173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10412.86</v>
      </c>
      <c r="H205" s="14">
        <f>data!AX63</f>
        <v>0</v>
      </c>
      <c r="I205" s="14">
        <f>data!AY63</f>
        <v>7887.86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859.9</v>
      </c>
      <c r="H206" s="14">
        <f>data!AX64</f>
        <v>0</v>
      </c>
      <c r="I206" s="14">
        <f>data!AY64</f>
        <v>180598.47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36.549999999999997</v>
      </c>
      <c r="H208" s="14">
        <f>data!AX66</f>
        <v>0</v>
      </c>
      <c r="I208" s="14">
        <f>data!AY66</f>
        <v>6346.33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0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2268.38</v>
      </c>
      <c r="H211" s="14">
        <f>data!AX69</f>
        <v>0</v>
      </c>
      <c r="I211" s="14">
        <f>data!AY69</f>
        <v>1798.32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114537.46</v>
      </c>
      <c r="H213" s="14">
        <f>data!AX71</f>
        <v>0</v>
      </c>
      <c r="I213" s="14">
        <f>data!AY71</f>
        <v>559951.81999999995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 t="e">
        <f>+data!M710</f>
        <v>#DIV/0!</v>
      </c>
      <c r="D215" s="48" t="e">
        <f>+data!M711</f>
        <v>#DIV/0!</v>
      </c>
      <c r="E215" s="48" t="e">
        <f>+data!M712</f>
        <v>#DIV/0!</v>
      </c>
      <c r="F215" s="48" t="e">
        <f>+data!M713</f>
        <v>#DIV/0!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82455.5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82455.5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1202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Klickitat County Public Hospital District #1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34048</v>
      </c>
      <c r="D233" s="14">
        <f>data!BA59</f>
        <v>0</v>
      </c>
      <c r="E233" s="212"/>
      <c r="F233" s="212"/>
      <c r="G233" s="212"/>
      <c r="H233" s="14">
        <f>data!BE59</f>
        <v>85625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0</v>
      </c>
      <c r="H234" s="26">
        <f>data!BE60</f>
        <v>0</v>
      </c>
      <c r="I234" s="26">
        <f>data!BF60</f>
        <v>0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10159.049999999999</v>
      </c>
      <c r="G235" s="14">
        <f>data!BD61</f>
        <v>56107.95</v>
      </c>
      <c r="H235" s="14">
        <f>data!BE61</f>
        <v>448193.66</v>
      </c>
      <c r="I235" s="14">
        <f>data!BF61</f>
        <v>311676.18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1014</v>
      </c>
      <c r="G236" s="14">
        <f>data!BD62</f>
        <v>18384</v>
      </c>
      <c r="H236" s="14">
        <f>data!BE62</f>
        <v>111812</v>
      </c>
      <c r="I236" s="14">
        <f>data!BF62</f>
        <v>82252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0</v>
      </c>
      <c r="F238" s="14">
        <f>data!BC64</f>
        <v>3016.66</v>
      </c>
      <c r="G238" s="14">
        <f>data!BD64</f>
        <v>1139.9000000000001</v>
      </c>
      <c r="H238" s="14">
        <f>data!BE64</f>
        <v>40786.43</v>
      </c>
      <c r="I238" s="14">
        <f>data!BF64</f>
        <v>44834.14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241058.97</v>
      </c>
      <c r="I239" s="14">
        <f>data!BF65</f>
        <v>506.93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100477.56</v>
      </c>
      <c r="I240" s="14">
        <f>data!BF66</f>
        <v>117307.13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0</v>
      </c>
      <c r="I241" s="14">
        <f>data!BF67</f>
        <v>0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1914.35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2323</v>
      </c>
      <c r="G243" s="14">
        <f>data!BD69</f>
        <v>0</v>
      </c>
      <c r="H243" s="14">
        <f>data!BE69</f>
        <v>54280.12</v>
      </c>
      <c r="I243" s="14">
        <f>data!BF69</f>
        <v>573.36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0</v>
      </c>
      <c r="E245" s="14">
        <f>data!BB71</f>
        <v>0</v>
      </c>
      <c r="F245" s="14">
        <f>data!BC71</f>
        <v>16512.71</v>
      </c>
      <c r="G245" s="14">
        <f>data!BD71</f>
        <v>75631.849999999991</v>
      </c>
      <c r="H245" s="14">
        <f>data!BE71</f>
        <v>998523.08999999985</v>
      </c>
      <c r="I245" s="14">
        <f>data!BF71</f>
        <v>557149.74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1067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883</v>
      </c>
      <c r="H252" s="85">
        <f>data!BE76</f>
        <v>33563</v>
      </c>
      <c r="I252" s="85">
        <f>data!BF76</f>
        <v>1332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Klickitat County Public Hospital District #1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381722.46</v>
      </c>
      <c r="E267" s="14">
        <f>data!BI61</f>
        <v>0</v>
      </c>
      <c r="F267" s="14">
        <f>data!BJ61</f>
        <v>152224.9</v>
      </c>
      <c r="G267" s="14">
        <f>data!BK61</f>
        <v>431676.36</v>
      </c>
      <c r="H267" s="14">
        <f>data!BL61</f>
        <v>184001.27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97947</v>
      </c>
      <c r="E268" s="14">
        <f>data!BI62</f>
        <v>0</v>
      </c>
      <c r="F268" s="14">
        <f>data!BJ62</f>
        <v>29413</v>
      </c>
      <c r="G268" s="14">
        <f>data!BK62</f>
        <v>126114</v>
      </c>
      <c r="H268" s="14">
        <f>data!BL62</f>
        <v>53680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24085.95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49773.42</v>
      </c>
      <c r="E270" s="14">
        <f>data!BI64</f>
        <v>0</v>
      </c>
      <c r="F270" s="14">
        <f>data!BJ64</f>
        <v>5919.13</v>
      </c>
      <c r="G270" s="14">
        <f>data!BK64</f>
        <v>4561.24</v>
      </c>
      <c r="H270" s="14">
        <f>data!BL64</f>
        <v>9622.34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443589.37</v>
      </c>
      <c r="E272" s="14">
        <f>data!BI66</f>
        <v>0</v>
      </c>
      <c r="F272" s="14">
        <f>data!BJ66</f>
        <v>135608.38</v>
      </c>
      <c r="G272" s="14">
        <f>data!BK66</f>
        <v>330038.27</v>
      </c>
      <c r="H272" s="14">
        <f>data!BL66</f>
        <v>576.45000000000005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3137.54</v>
      </c>
      <c r="G274" s="14">
        <f>data!BK68</f>
        <v>2243.4699999999998</v>
      </c>
      <c r="H274" s="14">
        <f>data!BL68</f>
        <v>1807.06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12272.14</v>
      </c>
      <c r="E275" s="14">
        <f>data!BI69</f>
        <v>0</v>
      </c>
      <c r="F275" s="14">
        <f>data!BJ69</f>
        <v>1969.95</v>
      </c>
      <c r="G275" s="14">
        <f>data!BK69</f>
        <v>61714.79</v>
      </c>
      <c r="H275" s="14">
        <f>data!BL69</f>
        <v>392.94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0</v>
      </c>
      <c r="D277" s="14">
        <f>data!BH71</f>
        <v>985304.39</v>
      </c>
      <c r="E277" s="14">
        <f>data!BI71</f>
        <v>0</v>
      </c>
      <c r="F277" s="14">
        <f>data!BJ71</f>
        <v>328272.90000000002</v>
      </c>
      <c r="G277" s="14">
        <f>data!BK71</f>
        <v>980434.08</v>
      </c>
      <c r="H277" s="14">
        <f>data!BL71</f>
        <v>250080.06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1571</v>
      </c>
      <c r="E284" s="85">
        <f>data!BI76</f>
        <v>0</v>
      </c>
      <c r="F284" s="85">
        <f>data!BJ76</f>
        <v>700</v>
      </c>
      <c r="G284" s="85">
        <f>data!BK76</f>
        <v>1730</v>
      </c>
      <c r="H284" s="85">
        <f>data!BL76</f>
        <v>410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Klickitat County Public Hospital District #1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0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861769.27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423742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24690.240000000002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42108.63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152685.22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1046968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15703.52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777938.76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3345605.6399999997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4373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Klickitat County Public Hospital District #1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0</v>
      </c>
      <c r="G330" s="26">
        <f>data!BY60</f>
        <v>0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294378.23999999999</v>
      </c>
      <c r="E331" s="86">
        <f>data!BW61</f>
        <v>0</v>
      </c>
      <c r="F331" s="86">
        <f>data!BX61</f>
        <v>0</v>
      </c>
      <c r="G331" s="86">
        <f>data!BY61</f>
        <v>239527.13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115028</v>
      </c>
      <c r="E332" s="86">
        <f>data!BW62</f>
        <v>0</v>
      </c>
      <c r="F332" s="86">
        <f>data!BX62</f>
        <v>0</v>
      </c>
      <c r="G332" s="86">
        <f>data!BY62</f>
        <v>70687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1609.79</v>
      </c>
      <c r="E334" s="86">
        <f>data!BW64</f>
        <v>0</v>
      </c>
      <c r="F334" s="86">
        <f>data!BX64</f>
        <v>0</v>
      </c>
      <c r="G334" s="86">
        <f>data!BY64</f>
        <v>1696.59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14728.32</v>
      </c>
      <c r="E336" s="86">
        <f>data!BW66</f>
        <v>0</v>
      </c>
      <c r="F336" s="86">
        <f>data!BX66</f>
        <v>0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0</v>
      </c>
      <c r="G337" s="86">
        <f>data!BY67</f>
        <v>0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2243.41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1802.06</v>
      </c>
      <c r="E339" s="86">
        <f>data!BW69</f>
        <v>0</v>
      </c>
      <c r="F339" s="86">
        <f>data!BX69</f>
        <v>0</v>
      </c>
      <c r="G339" s="86">
        <f>data!BY69</f>
        <v>1317.24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429789.81999999995</v>
      </c>
      <c r="E341" s="14">
        <f>data!BW71</f>
        <v>0</v>
      </c>
      <c r="F341" s="14">
        <f>data!BX71</f>
        <v>0</v>
      </c>
      <c r="G341" s="14">
        <f>data!BY71</f>
        <v>313227.96000000002</v>
      </c>
      <c r="H341" s="14">
        <f>data!BZ71</f>
        <v>0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1031</v>
      </c>
      <c r="E348" s="85">
        <f>data!BW76</f>
        <v>0</v>
      </c>
      <c r="F348" s="85">
        <f>data!BX76</f>
        <v>0</v>
      </c>
      <c r="G348" s="85">
        <f>data!BY76</f>
        <v>112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Klickitat County Public Hospital District #1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0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69375.039999999994</v>
      </c>
      <c r="E363" s="218"/>
      <c r="F363" s="219"/>
      <c r="G363" s="219"/>
      <c r="H363" s="219"/>
      <c r="I363" s="86">
        <f>data!CE61</f>
        <v>13136786.169999998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6293</v>
      </c>
      <c r="E364" s="218"/>
      <c r="F364" s="219"/>
      <c r="G364" s="219"/>
      <c r="H364" s="219"/>
      <c r="I364" s="86">
        <f>data!CE62</f>
        <v>3225722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3106398.2900000005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7845.24</v>
      </c>
      <c r="E366" s="218"/>
      <c r="F366" s="219"/>
      <c r="G366" s="219"/>
      <c r="H366" s="219"/>
      <c r="I366" s="86">
        <f>data!CE64</f>
        <v>1720315.0099999993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309685.92199999996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2060619.3299999998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1237939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435410.58999999991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665.78</v>
      </c>
      <c r="E371" s="86">
        <f>data!CD69</f>
        <v>0</v>
      </c>
      <c r="F371" s="219"/>
      <c r="G371" s="219"/>
      <c r="H371" s="219"/>
      <c r="I371" s="86">
        <f>data!CE69</f>
        <v>1167873.1100000001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0</v>
      </c>
      <c r="F372" s="220"/>
      <c r="G372" s="220"/>
      <c r="H372" s="220"/>
      <c r="I372" s="14">
        <f>-data!CE70</f>
        <v>0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84179.06</v>
      </c>
      <c r="E373" s="86">
        <f>data!CD71</f>
        <v>0</v>
      </c>
      <c r="F373" s="219"/>
      <c r="G373" s="219"/>
      <c r="H373" s="219"/>
      <c r="I373" s="14">
        <f>data!CE71</f>
        <v>26400749.421999991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3417356.49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41377004.74000001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44794361.230000004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575</v>
      </c>
      <c r="E380" s="214"/>
      <c r="F380" s="211"/>
      <c r="G380" s="211"/>
      <c r="H380" s="211"/>
      <c r="I380" s="14">
        <f>data!CE76</f>
        <v>85625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4752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0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0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23.910000000000004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2020-11-20T21:33:45Z</dcterms:modified>
</cp:coreProperties>
</file>